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C9w9tsRBYemGntOZMEZmJedyK7W/Xlkzt/z8nZWLWjdOCjvazSiZFdxYj3BTLak/qH+WcSeRJ5jXG8mTDgZEA==" workbookSaltValue="Co5D2fomS+wDKT5eZlBx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AY20" i="8"/>
  <c r="BF16" i="8"/>
  <c r="BG16" i="8"/>
  <c r="BD9" i="8"/>
  <c r="BE9" i="8"/>
  <c r="E14" i="17"/>
  <c r="AH14" i="16"/>
  <c r="T14" i="20"/>
  <c r="T20" i="17"/>
  <c r="BF16" i="13"/>
  <c r="BG16" i="13"/>
  <c r="BB20" i="13"/>
  <c r="BE17" i="13"/>
  <c r="BE16" i="13"/>
  <c r="BF17" i="13"/>
  <c r="K22" i="20"/>
  <c r="Y22" i="20"/>
  <c r="U12" i="11"/>
  <c r="AQ22" i="20"/>
  <c r="W22" i="20"/>
  <c r="U10" i="11"/>
  <c r="W22" i="21"/>
  <c r="AF22" i="20"/>
  <c r="U18" i="11"/>
  <c r="AL22" i="20"/>
  <c r="AE22" i="20"/>
  <c r="AG22" i="20"/>
  <c r="L22" i="20"/>
  <c r="M22" i="20"/>
  <c r="N22" i="20"/>
  <c r="AC22" i="20"/>
  <c r="AA22" i="20"/>
  <c r="AQ22" i="21"/>
  <c r="U17" i="11"/>
  <c r="G14" i="14"/>
  <c r="AW20" i="21" l="1"/>
  <c r="C14" i="7"/>
  <c r="R21" i="8"/>
  <c r="BG10" i="8"/>
  <c r="K10" i="7" s="1"/>
  <c r="AY14" i="8"/>
  <c r="K16" i="7"/>
  <c r="B19" i="6"/>
  <c r="H12" i="2"/>
  <c r="M20" i="2"/>
  <c r="N20" i="2"/>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K17" i="7"/>
  <c r="I12" i="12"/>
  <c r="T12" i="11"/>
  <c r="K9" i="12"/>
  <c r="AP17" i="20"/>
  <c r="BL19" i="11"/>
  <c r="BK13" i="11"/>
  <c r="BG10" i="11"/>
  <c r="BM17" i="11"/>
  <c r="V11" i="16"/>
  <c r="BH19" i="11"/>
  <c r="BF10" i="11"/>
  <c r="AZ19" i="11"/>
  <c r="V12" i="21"/>
  <c r="V18" i="16"/>
  <c r="BK16" i="11"/>
  <c r="AP10" i="21"/>
  <c r="V13" i="11"/>
  <c r="BI16" i="11"/>
  <c r="BM13" i="11"/>
  <c r="AP16" i="20"/>
  <c r="BL11" i="11"/>
  <c r="BL13" i="11"/>
  <c r="Q13" i="11" s="1"/>
  <c r="BM16" i="11"/>
  <c r="T16" i="16"/>
  <c r="BV19" i="16"/>
  <c r="BV13" i="16"/>
  <c r="BV17" i="16"/>
  <c r="BV16" i="16"/>
  <c r="BW11" i="20"/>
  <c r="BV10" i="16"/>
  <c r="V12" i="16"/>
  <c r="BV9" i="16"/>
  <c r="BV14" i="16" s="1"/>
  <c r="AA16" i="16"/>
  <c r="T17" i="11"/>
  <c r="Q18" i="17"/>
  <c r="BH10" i="11"/>
  <c r="BI9" i="11"/>
  <c r="AQ10" i="21"/>
  <c r="S10" i="17"/>
  <c r="BH10" i="16"/>
  <c r="Q16" i="17"/>
  <c r="Q20" i="17" s="1"/>
  <c r="BM18" i="11"/>
  <c r="P18" i="11" s="1"/>
  <c r="BF16" i="11"/>
  <c r="BH17" i="11"/>
  <c r="BH20" i="11" s="1"/>
  <c r="AQ12" i="21"/>
  <c r="BJ17" i="11"/>
  <c r="BJ20" i="11" s="1"/>
  <c r="BL17" i="11"/>
  <c r="S17" i="17"/>
  <c r="L17" i="2"/>
  <c r="L13" i="2"/>
  <c r="X10" i="21"/>
  <c r="X16" i="16"/>
  <c r="X20" i="16" s="1"/>
  <c r="V10" i="16"/>
  <c r="X13" i="16"/>
  <c r="BH9" i="16"/>
  <c r="BL9" i="11"/>
  <c r="Q9" i="11" s="1"/>
  <c r="BH18" i="16"/>
  <c r="BH16" i="16"/>
  <c r="Q18" i="20"/>
  <c r="Q20" i="20" s="1"/>
  <c r="BF18" i="11"/>
  <c r="BF20" i="11" s="1"/>
  <c r="BK19" i="11"/>
  <c r="BK9" i="11"/>
  <c r="S9" i="17"/>
  <c r="BM12" i="11"/>
  <c r="S9" i="14"/>
  <c r="V9" i="14" s="1"/>
  <c r="BI19" i="11"/>
  <c r="BJ12" i="11"/>
  <c r="BG16" i="11"/>
  <c r="AQ14" i="21"/>
  <c r="BG19" i="11"/>
  <c r="T18" i="16"/>
  <c r="BU16" i="17"/>
  <c r="BW9" i="20"/>
  <c r="BW13" i="20"/>
  <c r="BW17" i="20"/>
  <c r="U13" i="17"/>
  <c r="U10" i="17"/>
  <c r="BU18" i="17"/>
  <c r="BU17" i="17"/>
  <c r="S11" i="14"/>
  <c r="V11" i="14" s="1"/>
  <c r="P16" i="17"/>
  <c r="P20" i="17" s="1"/>
  <c r="P21" i="17" s="1"/>
  <c r="BL16" i="11"/>
  <c r="P16" i="11" s="1"/>
  <c r="BJ10" i="11"/>
  <c r="BH11" i="11"/>
  <c r="S18" i="17"/>
  <c r="BH12" i="16"/>
  <c r="S16" i="17"/>
  <c r="X19" i="16"/>
  <c r="L19" i="2"/>
  <c r="L9" i="2"/>
  <c r="V9" i="16"/>
  <c r="BG12" i="11"/>
  <c r="BF12" i="11"/>
  <c r="BL10" i="11"/>
  <c r="BK17" i="11"/>
  <c r="BG17" i="11"/>
  <c r="Q17" i="11" s="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I9" i="12"/>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X20" i="11"/>
  <c r="AC9" i="11"/>
  <c r="H14" i="11"/>
  <c r="E14" i="12" s="1"/>
  <c r="S20" i="11"/>
  <c r="T20" i="11" s="1"/>
  <c r="H20" i="11"/>
  <c r="X14" i="11"/>
  <c r="AA20" i="11"/>
  <c r="AA21" i="11" s="1"/>
  <c r="M20" i="11"/>
  <c r="C17" i="14"/>
  <c r="K17" i="14" s="1"/>
  <c r="AV21" i="17"/>
  <c r="J17" i="7"/>
  <c r="F20" i="3"/>
  <c r="G20" i="3" s="1"/>
  <c r="H14" i="3"/>
  <c r="E20" i="6"/>
  <c r="BK20" i="1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I18" i="12"/>
  <c r="BE14" i="8"/>
  <c r="BW23" i="20"/>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BU23" i="17"/>
  <c r="BK14" i="11"/>
  <c r="BK21" i="11"/>
  <c r="P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AR22" i="21"/>
  <c r="S22" i="21"/>
  <c r="E22" i="17"/>
  <c r="M22" i="21"/>
  <c r="P22" i="11"/>
  <c r="AF22" i="16"/>
  <c r="AI22" i="16"/>
  <c r="AW22" i="21"/>
  <c r="Y22" i="16"/>
  <c r="AY22" i="16"/>
  <c r="AW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S22" i="11"/>
  <c r="AP22" i="16"/>
  <c r="AI22" i="11"/>
  <c r="AT22" i="17"/>
  <c r="O22" i="11"/>
  <c r="BD22" i="16"/>
  <c r="AU22" i="16"/>
  <c r="BQ22" i="16"/>
  <c r="N22" i="17"/>
  <c r="L22" i="11"/>
  <c r="F22" i="11"/>
  <c r="AO22" i="17"/>
  <c r="V22" i="16"/>
  <c r="I22" i="17"/>
  <c r="AG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<sst xmlns="http://schemas.openxmlformats.org/spreadsheetml/2006/main" count="2229" uniqueCount="978">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</sst>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9aLOxOaUyZo2Jt5sVUE8dKczOvxOgmkVHW19r6FZM4cNgxgqM4HzQmnN/8NzkROUOwXj8JbRoK24HvfrW1eCQ==" saltValue="IrmDj5T/vTV2PheR/dXT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17</v>
      </c>
      <c r="D10" s="230">
        <f>IF(ISNUMBER(Datos!I10),Datos!I10," - ")</f>
        <v>17</v>
      </c>
      <c r="E10" s="231">
        <f>IF(ISNUMBER(Datos!J10),Datos!J10," - ")</f>
        <v>7</v>
      </c>
      <c r="F10" s="231">
        <f>IF(ISNUMBER(Datos!K10),Datos!K10," - ")</f>
        <v>4</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0.17647058823529413</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52.583979328165377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17</v>
      </c>
      <c r="D14" s="1210">
        <f>SUBTOTAL(9,D9:D13)</f>
        <v>17</v>
      </c>
      <c r="E14" s="1211">
        <f>SUBTOTAL(9,E9:E13)</f>
        <v>7</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940</v>
      </c>
      <c r="D17" s="230">
        <f>IF(ISNUMBER(IF(D_I="SI",Datos!I17,Datos!I17+Datos!AC17)),IF(D_I="SI",Datos!I17,Datos!I17+Datos!AC17)," - ")</f>
        <v>937</v>
      </c>
      <c r="E17" s="231">
        <f>IF(ISNUMBER(IF(D_I="SI",Datos!J17,Datos!J17+Datos!AD17)),IF(D_I="SI",Datos!J17,Datos!J17+Datos!AD17)," - ")</f>
        <v>301</v>
      </c>
      <c r="F17" s="231">
        <f>IF(ISNUMBER(IF(D_I="SI",Datos!K17,Datos!K17+Datos!AE17)),IF(D_I="SI",Datos!K17,Datos!K17+Datos!AE17)," - ")</f>
        <v>288</v>
      </c>
      <c r="G17" s="1193" t="str">
        <f>IF(Datos!E17&lt;&gt;"",Datos!E17,Datos!D17)</f>
        <v>04</v>
      </c>
      <c r="H17" s="232">
        <f>IF(ISNUMBER(IF(D_I="SI",Datos!L17,Datos!L17+Datos!AF17)),IF(D_I="SI",Datos!L17,Datos!L17+Datos!AF17)," - ")</f>
        <v>953</v>
      </c>
      <c r="I17" s="1203" t="str">
        <f>IF(ISNUMBER(Datos!AS17/Datos!BM17),Datos!AS17/Datos!BM17," - ")</f>
        <v xml:space="preserve"> - </v>
      </c>
      <c r="J17" s="1204">
        <f>IF(ISNUMBER(Datos!BY17/Datos!CN17),Datos!BY17/Datos!CN17," - ")</f>
        <v>0</v>
      </c>
      <c r="K17" s="235">
        <f t="shared" si="3"/>
        <v>1.3829787234042552E-2</v>
      </c>
      <c r="L17" s="1205">
        <f>IF(ISNUMBER(NºAsuntos!I17/NºAsuntos!G17),(NºAsuntos!I17/NºAsuntos!G17)*11," - ")</f>
        <v>36.399305555555557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67</v>
      </c>
      <c r="D18" s="230">
        <f>IF(ISNUMBER(IF(D_I="SI",Datos!I18,Datos!I18+Datos!AC18)),IF(D_I="SI",Datos!I18,Datos!I18+Datos!AC18)," - ")</f>
        <v>67</v>
      </c>
      <c r="E18" s="231">
        <f>IF(ISNUMBER(IF(D_I="SI",Datos!J18,Datos!J18+Datos!AD18)),IF(D_I="SI",Datos!J18,Datos!J18+Datos!AD18)," - ")</f>
        <v>63</v>
      </c>
      <c r="F18" s="231">
        <f>IF(ISNUMBER(IF(D_I="SI",Datos!K18,Datos!K18+Datos!AE18)),IF(D_I="SI",Datos!K18,Datos!K18+Datos!AE18)," - ")</f>
        <v>55</v>
      </c>
      <c r="G18" s="1193" t="str">
        <f>IF(Datos!E18&lt;&gt;"",Datos!E18,Datos!D18)</f>
        <v>37</v>
      </c>
      <c r="H18" s="232">
        <f>IF(ISNUMBER(IF(D_I="SI",Datos!L18,Datos!L18+Datos!AF18)),IF(D_I="SI",Datos!L18,Datos!L18+Datos!AF18)," - ")</f>
        <v>75</v>
      </c>
      <c r="I18" s="1203" t="str">
        <f>IF(ISNUMBER(Datos!AS18/Datos!BM18),Datos!AS18/Datos!BM18," - ")</f>
        <v xml:space="preserve"> - </v>
      </c>
      <c r="J18" s="1204" t="str">
        <f>IF(ISNUMBER((Datos!BY18+Datos!BZ18)/Datos!CN18),(Datos!BY18+Datos!BZ18)/Datos!CN18," - ")</f>
        <v xml:space="preserve"> - </v>
      </c>
      <c r="K18" s="235">
        <f t="shared" si="3"/>
        <v>0.11940298507462686</v>
      </c>
      <c r="L18" s="1205">
        <f>IF(ISNUMBER(NºAsuntos!I18/NºAsuntos!G18),(NºAsuntos!I18/NºAsuntos!G18)*11," - ")</f>
        <v>14.999999999999998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1007</v>
      </c>
      <c r="D20" s="1210">
        <f>SUBTOTAL(9,D16:D19)</f>
        <v>1004</v>
      </c>
      <c r="E20" s="1211">
        <f>SUBTOTAL(9,E16:E19)</f>
        <v>364</v>
      </c>
      <c r="F20" s="1211">
        <f>SUBTOTAL(9,F16:F19)</f>
        <v>343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1024</v>
      </c>
      <c r="D21" s="1232">
        <f>SUBTOTAL(9,D9:D20)</f>
        <v>1021</v>
      </c>
      <c r="E21" s="1233">
        <f>SUBTOTAL(9,E9:E20)</f>
        <v>371</v>
      </c>
      <c r="F21" s="1233">
        <f>SUBTOTAL(9,F9:F20)</f>
        <v>347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f+D/j4s1L28uhUwEX8ORp4ikH7B/0dTllukUW3Yibg0/BHTDGS20AjKGHUTz/mlqmSpDWcYow5cNqgiV1L5xA==" saltValue="4kRYQPpzj6RxYfge2nJ7W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OTt9B3fl4mZRa2I4689pL1mGwKGCilEsWEO9bhT/vt+1NnfaT5FAO38DUdPqyJd+RUMFPrE9tHgFr61q99yVg==" saltValue="Gh+Ea3cXGkypG+uglz75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v>
      </c>
      <c r="J10" s="186">
        <v>7</v>
      </c>
      <c r="K10" s="186">
        <v>4</v>
      </c>
      <c r="L10" s="186">
        <v>20</v>
      </c>
      <c r="M10" s="186">
        <v>2</v>
      </c>
      <c r="N10" s="186">
        <v>0</v>
      </c>
      <c r="O10" s="186">
        <v>2</v>
      </c>
      <c r="P10" s="186">
        <v>0</v>
      </c>
      <c r="Q10" s="186">
        <v>0</v>
      </c>
      <c r="R10" s="186">
        <v>3</v>
      </c>
      <c r="S10" s="186">
        <v>14</v>
      </c>
      <c r="T10" s="186">
        <v>2</v>
      </c>
      <c r="U10" s="186">
        <v>2</v>
      </c>
      <c r="V10" s="186">
        <v>14</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2</v>
      </c>
      <c r="BA10" s="131">
        <f t="shared" si="0"/>
        <v>2</v>
      </c>
      <c r="BB10" s="131">
        <f t="shared" si="0"/>
        <v>14</v>
      </c>
      <c r="BC10" s="127">
        <f t="shared" si="0"/>
        <v>1</v>
      </c>
      <c r="BD10" s="128">
        <f>IF(ISNUMBER(BA10/AZ10),BA10/AZ10," - ")</f>
        <v>1</v>
      </c>
      <c r="BE10" s="129">
        <f>IF(ISNUMBER(BB10/BA10),BB10/BA10, " - ")</f>
        <v>7</v>
      </c>
      <c r="BF10" s="129">
        <f>IF(ISNUMBER(BC10/BA10),BC10/BA10, " - ")</f>
        <v>0.5</v>
      </c>
      <c r="BG10" s="201">
        <f>IF(ISNUMBER((AY10+AZ10)/BA10),(AY10+AZ10)/BA10," - ")</f>
        <v>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1700</v>
      </c>
      <c r="J12" s="188">
        <v>401</v>
      </c>
      <c r="K12" s="188">
        <v>327</v>
      </c>
      <c r="L12" s="188">
        <v>1774</v>
      </c>
      <c r="M12" s="188">
        <v>58</v>
      </c>
      <c r="N12" s="188">
        <v>210</v>
      </c>
      <c r="O12" s="186">
        <v>149</v>
      </c>
      <c r="P12" s="188">
        <v>79</v>
      </c>
      <c r="Q12" s="188">
        <v>34</v>
      </c>
      <c r="R12" s="188">
        <v>1176</v>
      </c>
      <c r="S12" s="188">
        <v>1630</v>
      </c>
      <c r="T12" s="188">
        <v>308</v>
      </c>
      <c r="U12" s="188">
        <v>277</v>
      </c>
      <c r="V12" s="188">
        <v>1661</v>
      </c>
      <c r="W12" s="188">
        <v>39</v>
      </c>
      <c r="X12" s="194">
        <v>201</v>
      </c>
      <c r="Y12" s="196">
        <v>96</v>
      </c>
      <c r="Z12" s="186">
        <v>40</v>
      </c>
      <c r="AA12" s="186">
        <v>60</v>
      </c>
      <c r="AB12" s="186">
        <v>76</v>
      </c>
      <c r="AC12" s="188">
        <v>0</v>
      </c>
      <c r="AD12" s="188">
        <v>0</v>
      </c>
      <c r="AE12" s="188">
        <v>0</v>
      </c>
      <c r="AF12" s="194">
        <v>0</v>
      </c>
      <c r="AG12" s="207">
        <v>48</v>
      </c>
      <c r="AH12" s="188">
        <v>77</v>
      </c>
      <c r="AI12" s="188">
        <v>68</v>
      </c>
      <c r="AJ12" s="208">
        <v>57</v>
      </c>
      <c r="AK12" s="187">
        <v>0</v>
      </c>
      <c r="AL12" s="188">
        <v>0</v>
      </c>
      <c r="AM12" s="188">
        <v>0</v>
      </c>
      <c r="AN12" s="194">
        <v>0</v>
      </c>
      <c r="AO12" s="264">
        <v>2</v>
      </c>
      <c r="AP12" s="160">
        <v>2</v>
      </c>
      <c r="AQ12" s="160">
        <v>2</v>
      </c>
      <c r="AR12" s="159">
        <v>2</v>
      </c>
      <c r="AS12" s="350" t="s">
        <v>874</v>
      </c>
      <c r="AT12" s="208"/>
      <c r="AU12" s="207"/>
      <c r="AV12" s="208"/>
      <c r="AW12" s="207"/>
      <c r="AX12" s="208"/>
      <c r="AY12" s="128">
        <f t="shared" si="1"/>
        <v>1678</v>
      </c>
      <c r="AZ12" s="129">
        <f t="shared" si="1"/>
        <v>385</v>
      </c>
      <c r="BA12" s="129">
        <f t="shared" si="1"/>
        <v>345</v>
      </c>
      <c r="BB12" s="129">
        <f t="shared" si="1"/>
        <v>1718</v>
      </c>
      <c r="BC12" s="127">
        <f>IF(ISNUMBER(X12),X12," - ")</f>
        <v>201</v>
      </c>
      <c r="BD12" s="128">
        <f t="shared" si="2"/>
        <v>0.89610389610389607</v>
      </c>
      <c r="BE12" s="129">
        <f t="shared" si="3"/>
        <v>4.9797101449275365</v>
      </c>
      <c r="BF12" s="129">
        <f t="shared" si="4"/>
        <v>0.58260869565217388</v>
      </c>
      <c r="BG12" s="201">
        <f t="shared" si="5"/>
        <v>5.9797101449275365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1717</v>
      </c>
      <c r="J14" s="189">
        <f t="shared" si="7"/>
        <v>408</v>
      </c>
      <c r="K14" s="189">
        <f t="shared" si="7"/>
        <v>331</v>
      </c>
      <c r="L14" s="189">
        <f t="shared" si="7"/>
        <v>1794</v>
      </c>
      <c r="M14" s="189">
        <f t="shared" si="7"/>
        <v>60</v>
      </c>
      <c r="N14" s="189">
        <f t="shared" si="7"/>
        <v>210</v>
      </c>
      <c r="O14" s="189">
        <f t="shared" si="7"/>
        <v>151</v>
      </c>
      <c r="P14" s="189">
        <f t="shared" si="7"/>
        <v>79</v>
      </c>
      <c r="Q14" s="189">
        <f t="shared" si="7"/>
        <v>34</v>
      </c>
      <c r="R14" s="189">
        <f t="shared" si="7"/>
        <v>1179</v>
      </c>
      <c r="S14" s="189">
        <f t="shared" si="7"/>
        <v>1644</v>
      </c>
      <c r="T14" s="189">
        <f t="shared" si="7"/>
        <v>310</v>
      </c>
      <c r="U14" s="189">
        <f t="shared" si="7"/>
        <v>279</v>
      </c>
      <c r="V14" s="189">
        <f t="shared" si="7"/>
        <v>1675</v>
      </c>
      <c r="W14" s="189">
        <f t="shared" si="7"/>
        <v>40</v>
      </c>
      <c r="X14" s="189">
        <f t="shared" si="7"/>
        <v>202</v>
      </c>
      <c r="Y14" s="189">
        <f t="shared" si="7"/>
        <v>96</v>
      </c>
      <c r="Z14" s="189">
        <f t="shared" si="7"/>
        <v>40</v>
      </c>
      <c r="AA14" s="189">
        <f t="shared" si="7"/>
        <v>60</v>
      </c>
      <c r="AB14" s="189">
        <f t="shared" si="7"/>
        <v>76</v>
      </c>
      <c r="AC14" s="189">
        <f t="shared" si="7"/>
        <v>0</v>
      </c>
      <c r="AD14" s="189">
        <f t="shared" si="7"/>
        <v>0</v>
      </c>
      <c r="AE14" s="189">
        <f t="shared" si="7"/>
        <v>0</v>
      </c>
      <c r="AF14" s="189">
        <f>SUBTOTAL(9,AF9:AF13)</f>
        <v>0</v>
      </c>
      <c r="AG14" s="189">
        <f t="shared" ref="AG14:AT14" si="8">SUBTOTAL(9,AG8:AG13)</f>
        <v>48</v>
      </c>
      <c r="AH14" s="189">
        <f t="shared" si="8"/>
        <v>77</v>
      </c>
      <c r="AI14" s="189">
        <f t="shared" si="8"/>
        <v>68</v>
      </c>
      <c r="AJ14" s="189">
        <f t="shared" si="8"/>
        <v>57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1692</v>
      </c>
      <c r="AZ14" s="189">
        <f>SUBTOTAL(9,AZ8:AZ13)</f>
        <v>387</v>
      </c>
      <c r="BA14" s="189">
        <f>SUBTOTAL(9,BA8:BA13)</f>
        <v>347</v>
      </c>
      <c r="BB14" s="189">
        <f>SUBTOTAL(9,BB8:BB13)</f>
        <v>1732</v>
      </c>
      <c r="BC14" s="189">
        <f>SUBTOTAL(9,BC8:BC13)</f>
        <v>202</v>
      </c>
      <c r="BD14" s="210">
        <f>IF(ISNUMBER(BA14/AZ14),BA14/AZ14," - ")</f>
        <v>0.89664082687338498</v>
      </c>
      <c r="BE14" s="211">
        <f>IF(ISNUMBER(BB14/BA14),BB14/BA14, " - ")</f>
        <v>4.9913544668587893</v>
      </c>
      <c r="BF14" s="211">
        <f>IF(ISNUMBER(BC14/BA14),BC14/BA14, " - ")</f>
        <v>0.58213256484149856</v>
      </c>
      <c r="BG14" s="212">
        <f>IF(ISNUMBER((AY14+AZ14)/BA14),(AY14+AZ14)/BA14," - ")</f>
        <v>5.9913544668587893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937</v>
      </c>
      <c r="J17" s="188">
        <v>301</v>
      </c>
      <c r="K17" s="188">
        <v>288</v>
      </c>
      <c r="L17" s="188">
        <v>953</v>
      </c>
      <c r="M17" s="188">
        <v>22</v>
      </c>
      <c r="N17" s="188">
        <v>178</v>
      </c>
      <c r="O17" s="186">
        <v>1</v>
      </c>
      <c r="P17" s="188">
        <v>2</v>
      </c>
      <c r="Q17" s="188">
        <v>1</v>
      </c>
      <c r="R17" s="188">
        <v>42</v>
      </c>
      <c r="S17" s="188">
        <v>672</v>
      </c>
      <c r="T17" s="188">
        <v>264</v>
      </c>
      <c r="U17" s="188">
        <v>233</v>
      </c>
      <c r="V17" s="188">
        <v>709</v>
      </c>
      <c r="W17" s="188">
        <v>30</v>
      </c>
      <c r="X17" s="194">
        <v>116</v>
      </c>
      <c r="Y17" s="207">
        <v>0</v>
      </c>
      <c r="Z17" s="188">
        <v>0</v>
      </c>
      <c r="AA17" s="188">
        <v>0</v>
      </c>
      <c r="AB17" s="188">
        <v>0</v>
      </c>
      <c r="AC17" s="188">
        <v>2</v>
      </c>
      <c r="AD17" s="188">
        <v>1</v>
      </c>
      <c r="AE17" s="188">
        <v>0</v>
      </c>
      <c r="AF17" s="194">
        <v>3</v>
      </c>
      <c r="AG17" s="207">
        <v>0</v>
      </c>
      <c r="AH17" s="188">
        <v>0</v>
      </c>
      <c r="AI17" s="188">
        <v>0</v>
      </c>
      <c r="AJ17" s="208">
        <v>0</v>
      </c>
      <c r="AK17" s="187">
        <v>0</v>
      </c>
      <c r="AL17" s="188">
        <v>3</v>
      </c>
      <c r="AM17" s="188">
        <v>3</v>
      </c>
      <c r="AN17" s="194">
        <v>0</v>
      </c>
      <c r="AO17" s="264">
        <v>2</v>
      </c>
      <c r="AP17" s="160">
        <v>2</v>
      </c>
      <c r="AQ17" s="160">
        <v>2</v>
      </c>
      <c r="AR17" s="160">
        <v>2</v>
      </c>
      <c r="AS17" s="350" t="s">
        <v>545</v>
      </c>
      <c r="AT17" s="208"/>
      <c r="AU17" s="207"/>
      <c r="AV17" s="208"/>
      <c r="AW17" s="207"/>
      <c r="AX17" s="208"/>
      <c r="AY17" s="128">
        <f t="shared" si="10"/>
        <v>672</v>
      </c>
      <c r="AZ17" s="129">
        <f t="shared" si="10"/>
        <v>264</v>
      </c>
      <c r="BA17" s="129">
        <f t="shared" si="10"/>
        <v>233</v>
      </c>
      <c r="BB17" s="129">
        <f t="shared" si="10"/>
        <v>709</v>
      </c>
      <c r="BC17" s="127">
        <f>IF(ISNUMBER(W17),W17," - ")</f>
        <v>30</v>
      </c>
      <c r="BD17" s="128">
        <f t="shared" ref="BD17:BD19" si="12">IF(ISNUMBER(BA17/AZ17),BA17/AZ17," - ")</f>
        <v>0.88257575757575757</v>
      </c>
      <c r="BE17" s="129">
        <f t="shared" ref="BE17:BE19" si="13">IF(ISNUMBER(BB17/BA17),BB17/BA17, " - ")</f>
        <v>3.0429184549356223</v>
      </c>
      <c r="BF17" s="129">
        <f t="shared" ref="BF17:BF19" si="14">IF(ISNUMBER(BC17/BA17),BC17/BA17, " - ")</f>
        <v>0.12875536480686695</v>
      </c>
      <c r="BG17" s="201">
        <f t="shared" si="11"/>
        <v>4.0171673819742493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67</v>
      </c>
      <c r="J18" s="188">
        <v>63</v>
      </c>
      <c r="K18" s="188">
        <v>55</v>
      </c>
      <c r="L18" s="188">
        <v>75</v>
      </c>
      <c r="M18" s="188">
        <v>1</v>
      </c>
      <c r="N18" s="188">
        <v>34</v>
      </c>
      <c r="O18" s="188">
        <v>6</v>
      </c>
      <c r="P18" s="188">
        <v>1</v>
      </c>
      <c r="Q18" s="188">
        <v>6</v>
      </c>
      <c r="R18" s="188">
        <v>1</v>
      </c>
      <c r="S18" s="188">
        <v>50</v>
      </c>
      <c r="T18" s="188">
        <v>46</v>
      </c>
      <c r="U18" s="188">
        <v>44</v>
      </c>
      <c r="V18" s="188">
        <v>52</v>
      </c>
      <c r="W18" s="188">
        <v>2</v>
      </c>
      <c r="X18" s="194">
        <v>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46</v>
      </c>
      <c r="BA18" s="131">
        <f t="shared" si="15"/>
        <v>44</v>
      </c>
      <c r="BB18" s="131">
        <f t="shared" si="15"/>
        <v>52</v>
      </c>
      <c r="BC18" s="127">
        <f>IF(ISNUMBER(W18),W18," - ")</f>
        <v>2</v>
      </c>
      <c r="BD18" s="128">
        <f>IF(ISNUMBER(BA18/AZ18),BA18/AZ18," - ")</f>
        <v>0.95652173913043481</v>
      </c>
      <c r="BE18" s="129">
        <f>IF(ISNUMBER(BB18/BA18),BB18/BA18, " - ")</f>
        <v>1.1818181818181819</v>
      </c>
      <c r="BF18" s="129">
        <f>IF(ISNUMBER(BC18/BA18),BC18/BA18, " - ")</f>
        <v>4.5454545454545456E-2</v>
      </c>
      <c r="BG18" s="201">
        <f>IF(ISNUMBER((AY18+AZ18)/BA18),(AY18+AZ18)/BA18," - ")</f>
        <v>2.1818181818181817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1004</v>
      </c>
      <c r="J20" s="189">
        <f t="shared" si="16"/>
        <v>364</v>
      </c>
      <c r="K20" s="189">
        <f t="shared" si="16"/>
        <v>343</v>
      </c>
      <c r="L20" s="189">
        <f t="shared" si="16"/>
        <v>1028</v>
      </c>
      <c r="M20" s="189">
        <f t="shared" si="16"/>
        <v>23</v>
      </c>
      <c r="N20" s="189">
        <f t="shared" si="16"/>
        <v>212</v>
      </c>
      <c r="O20" s="189">
        <f t="shared" si="16"/>
        <v>7</v>
      </c>
      <c r="P20" s="189">
        <f t="shared" si="16"/>
        <v>3</v>
      </c>
      <c r="Q20" s="189">
        <f t="shared" si="16"/>
        <v>7</v>
      </c>
      <c r="R20" s="189">
        <f t="shared" si="16"/>
        <v>43</v>
      </c>
      <c r="S20" s="189">
        <f t="shared" si="16"/>
        <v>722</v>
      </c>
      <c r="T20" s="189">
        <f t="shared" si="16"/>
        <v>310</v>
      </c>
      <c r="U20" s="189">
        <f t="shared" si="16"/>
        <v>277</v>
      </c>
      <c r="V20" s="189">
        <f t="shared" si="16"/>
        <v>761</v>
      </c>
      <c r="W20" s="189">
        <f t="shared" si="16"/>
        <v>32</v>
      </c>
      <c r="X20" s="189">
        <f t="shared" si="16"/>
        <v>150</v>
      </c>
      <c r="Y20" s="189">
        <f t="shared" si="16"/>
        <v>0</v>
      </c>
      <c r="Z20" s="189">
        <f t="shared" si="16"/>
        <v>0</v>
      </c>
      <c r="AA20" s="189">
        <f t="shared" si="16"/>
        <v>0</v>
      </c>
      <c r="AB20" s="189">
        <f t="shared" si="16"/>
        <v>0</v>
      </c>
      <c r="AC20" s="189">
        <f t="shared" si="16"/>
        <v>2</v>
      </c>
      <c r="AD20" s="189">
        <f t="shared" si="16"/>
        <v>1</v>
      </c>
      <c r="AE20" s="189">
        <f t="shared" si="16"/>
        <v>0</v>
      </c>
      <c r="AF20" s="189">
        <f t="shared" si="16"/>
        <v>3</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722</v>
      </c>
      <c r="AZ20" s="189">
        <f>SUBTOTAL(9,AZ15:AZ19)</f>
        <v>310</v>
      </c>
      <c r="BA20" s="189">
        <f>SUBTOTAL(9,BA15:BA19)</f>
        <v>277</v>
      </c>
      <c r="BB20" s="189">
        <f>SUBTOTAL(9,BB15:BB19)</f>
        <v>761</v>
      </c>
      <c r="BC20" s="189">
        <f>SUBTOTAL(9,BC15:BC19)</f>
        <v>32</v>
      </c>
      <c r="BD20" s="210">
        <f>IF(ISNUMBER(BA20/AZ20),BA20/AZ20," - ")</f>
        <v>0.8935483870967742</v>
      </c>
      <c r="BE20" s="211">
        <f>IF(ISNUMBER(BB20/BA20),BB20/BA20, " - ")</f>
        <v>2.7472924187725631</v>
      </c>
      <c r="BF20" s="211">
        <f>IF(ISNUMBER(BC20/BA20),BC20/BA20, " - ")</f>
        <v>0.11552346570397112</v>
      </c>
      <c r="BG20" s="212">
        <f>IF(ISNUMBER((AY20+AZ20)/BA20),(AY20+AZ20)/BA20," - ")</f>
        <v>3.7256317689530687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2721</v>
      </c>
      <c r="J21" s="136">
        <f t="shared" si="19"/>
        <v>772</v>
      </c>
      <c r="K21" s="136">
        <f t="shared" si="19"/>
        <v>674</v>
      </c>
      <c r="L21" s="136">
        <f t="shared" si="19"/>
        <v>2822</v>
      </c>
      <c r="M21" s="136">
        <f t="shared" si="19"/>
        <v>83</v>
      </c>
      <c r="N21" s="136">
        <f t="shared" si="19"/>
        <v>422</v>
      </c>
      <c r="O21" s="136">
        <f t="shared" si="19"/>
        <v>158</v>
      </c>
      <c r="P21" s="136">
        <f t="shared" si="19"/>
        <v>82</v>
      </c>
      <c r="Q21" s="136">
        <f t="shared" si="19"/>
        <v>41</v>
      </c>
      <c r="R21" s="136">
        <f t="shared" si="19"/>
        <v>1222</v>
      </c>
      <c r="S21" s="136">
        <f t="shared" si="19"/>
        <v>2366</v>
      </c>
      <c r="T21" s="136">
        <f t="shared" si="19"/>
        <v>620</v>
      </c>
      <c r="U21" s="136">
        <f t="shared" si="19"/>
        <v>556</v>
      </c>
      <c r="V21" s="136">
        <f t="shared" si="19"/>
        <v>2436</v>
      </c>
      <c r="W21" s="136">
        <f t="shared" si="19"/>
        <v>72</v>
      </c>
      <c r="X21" s="136">
        <f t="shared" si="19"/>
        <v>352</v>
      </c>
      <c r="Y21" s="136">
        <f t="shared" si="19"/>
        <v>96</v>
      </c>
      <c r="Z21" s="136">
        <f t="shared" si="19"/>
        <v>40</v>
      </c>
      <c r="AA21" s="136">
        <f t="shared" si="19"/>
        <v>60</v>
      </c>
      <c r="AB21" s="136">
        <f t="shared" si="19"/>
        <v>76</v>
      </c>
      <c r="AC21" s="136">
        <f t="shared" si="19"/>
        <v>2</v>
      </c>
      <c r="AD21" s="136">
        <f t="shared" si="19"/>
        <v>1</v>
      </c>
      <c r="AE21" s="136">
        <f t="shared" si="19"/>
        <v>0</v>
      </c>
      <c r="AF21" s="136">
        <f t="shared" si="19"/>
        <v>3</v>
      </c>
      <c r="AG21" s="136">
        <f t="shared" si="19"/>
        <v>48</v>
      </c>
      <c r="AH21" s="136">
        <f t="shared" si="19"/>
        <v>77</v>
      </c>
      <c r="AI21" s="136">
        <f t="shared" si="19"/>
        <v>68</v>
      </c>
      <c r="AJ21" s="136">
        <f t="shared" si="19"/>
        <v>57</v>
      </c>
      <c r="AK21" s="136">
        <f t="shared" si="19"/>
        <v>0</v>
      </c>
      <c r="AL21" s="136">
        <f t="shared" si="19"/>
        <v>3</v>
      </c>
      <c r="AM21" s="136">
        <f t="shared" si="19"/>
        <v>3</v>
      </c>
      <c r="AN21" s="215">
        <f t="shared" si="19"/>
        <v>0</v>
      </c>
      <c r="AO21" s="216">
        <v>3</v>
      </c>
      <c r="AP21" s="216">
        <v>2</v>
      </c>
      <c r="AQ21" s="216">
        <v>2</v>
      </c>
      <c r="AR21" s="216">
        <v>2</v>
      </c>
      <c r="AS21" s="158">
        <f t="shared" si="19"/>
        <v>0</v>
      </c>
      <c r="AT21" s="158">
        <f t="shared" si="19"/>
        <v>0</v>
      </c>
      <c r="AU21" s="216"/>
      <c r="AV21" s="217"/>
      <c r="AW21" s="216"/>
      <c r="AX21" s="217"/>
      <c r="AY21" s="135">
        <f>SUBTOTAL(9,AY9:AY20)</f>
        <v>2414</v>
      </c>
      <c r="AZ21" s="136">
        <f>SUBTOTAL(9,AZ9:AZ20)</f>
        <v>697</v>
      </c>
      <c r="BA21" s="136">
        <f>SUBTOTAL(9,BA9:BA20)</f>
        <v>624</v>
      </c>
      <c r="BB21" s="136">
        <f>SUBTOTAL(9,BB9:BB20)</f>
        <v>2493</v>
      </c>
      <c r="BC21" s="137">
        <f>SUBTOTAL(9,BC9:BC20)</f>
        <v>234</v>
      </c>
      <c r="BD21" s="218">
        <f>IF(ISNUMBER(BA21/AZ21),BA21/AZ21," - ")</f>
        <v>0.89526542324246772</v>
      </c>
      <c r="BE21" s="215">
        <f>IF(ISNUMBER(BB21/BA21),BB21/BA21, " - ")</f>
        <v>3.9951923076923075</v>
      </c>
      <c r="BF21" s="215">
        <f>IF(ISNUMBER(BC21/BA21),BC21/BA21, " - ")</f>
        <v>0.375</v>
      </c>
      <c r="BG21" s="137">
        <f>IF(ISNUMBER((AY21+AZ21)/BA21),(AY21+AZ21)/BA21," - ")</f>
        <v>4.9855769230769234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miIpizQOO25h1Pz3BJ1pQR/uR9pDEpzQbv717pd565JsksW2tGDipLyZ1D4IfdEcfRG+Isu0fCEmACb8474wQ==" saltValue="oqT09T/r45VSIN3fmS+u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zlPekmn5P5H7lrfzZQWAovYd2PeLN9bk81Tp8a0Us4DfAa2LqBs3SReVZhZXOt3ah8QbXjdazTMLdDVsgXDZw==" saltValue="fh9pYnnb7bWU9i97g6ui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TORRELAGUNA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17</v>
      </c>
      <c r="G10" s="498">
        <f>IF(ISNUMBER(Datos!I10),Datos!I10," - ")</f>
        <v>17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20</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0.5714285714285714</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40</v>
      </c>
      <c r="O12" s="504"/>
      <c r="P12" s="504"/>
      <c r="Q12" s="502">
        <f>IF(ISNUMBER(Datos!P12),Datos!P12,0)</f>
        <v>79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76</v>
      </c>
      <c r="AI12" s="504" t="str">
        <f>IF(ISNUMBER(Datos!CD12),Datos!CD12,"-")</f>
        <v>-</v>
      </c>
      <c r="AJ12" s="504" t="str">
        <f>IF(ISNUMBER(Datos!EN12),Datos!EN12," - ")</f>
        <v xml:space="preserve"> - </v>
      </c>
      <c r="AK12" s="504"/>
      <c r="AL12" s="505"/>
      <c r="AM12" s="672">
        <f>IF(ISNUMBER(Datos!R12),Datos!R12," - ")</f>
        <v>1176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58</v>
      </c>
      <c r="BD12" s="620">
        <f>IF(ISNUMBER(Datos!N12),Datos!N12," - ")</f>
        <v>210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0.87755102040816324</v>
      </c>
      <c r="BH12" s="670">
        <f>IF(ISNUMBER(((IF(J_V="SI",Datos!L12/Datos!K12,(Datos!L12+Datos!AB12)/(Datos!K12+Datos!AA12)))*11)/factor_trimestre),((IF(J_V="SI",Datos!L12/Datos!K12,(Datos!L12+Datos!AB12)/(Datos!K12+Datos!AA12)))*11)/factor_trimestre," - ")</f>
        <v>14.34108527131783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3.9787798408488062E-2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17</v>
      </c>
      <c r="G14" s="1045">
        <f t="shared" si="1"/>
        <v>17</v>
      </c>
      <c r="H14" s="1046">
        <f t="shared" si="1"/>
        <v>0</v>
      </c>
      <c r="I14" s="1045">
        <f t="shared" si="1"/>
        <v>0</v>
      </c>
      <c r="J14" s="1014">
        <f t="shared" si="1"/>
        <v>0</v>
      </c>
      <c r="K14" s="1014">
        <f t="shared" si="1"/>
        <v>0</v>
      </c>
      <c r="L14" s="1046">
        <f t="shared" si="1"/>
        <v>0</v>
      </c>
      <c r="M14" s="1046">
        <f t="shared" si="1"/>
        <v>0</v>
      </c>
      <c r="N14" s="1046">
        <f t="shared" si="1"/>
        <v>40</v>
      </c>
      <c r="O14" s="1047">
        <f t="shared" si="1"/>
        <v>0</v>
      </c>
      <c r="P14" s="1047">
        <f t="shared" si="1"/>
        <v>0</v>
      </c>
      <c r="Q14" s="1046">
        <f t="shared" si="1"/>
        <v>79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34</v>
      </c>
      <c r="AD14" s="1046">
        <f t="shared" si="2"/>
        <v>0</v>
      </c>
      <c r="AE14" s="1046">
        <f t="shared" si="2"/>
        <v>0</v>
      </c>
      <c r="AF14" s="1046">
        <f t="shared" si="2"/>
        <v>20</v>
      </c>
      <c r="AG14" s="1046">
        <f t="shared" si="2"/>
        <v>0</v>
      </c>
      <c r="AH14" s="1046">
        <f t="shared" si="2"/>
        <v>76</v>
      </c>
      <c r="AI14" s="1046">
        <f t="shared" si="2"/>
        <v>0</v>
      </c>
      <c r="AJ14" s="1046">
        <f t="shared" si="2"/>
        <v>0</v>
      </c>
      <c r="AK14" s="1046">
        <f t="shared" si="2"/>
        <v>0</v>
      </c>
      <c r="AL14" s="1046">
        <f t="shared" si="2"/>
        <v>0</v>
      </c>
      <c r="AM14" s="1046">
        <f t="shared" si="2"/>
        <v>1179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60</v>
      </c>
      <c r="BD14" s="1046">
        <f t="shared" si="2"/>
        <v>210</v>
      </c>
      <c r="BE14" s="1046">
        <f t="shared" si="2"/>
        <v>0</v>
      </c>
      <c r="BF14" s="1046">
        <f t="shared" si="2"/>
        <v>0</v>
      </c>
      <c r="BG14" s="1046">
        <f>IF(ISNUMBER(Datos!K14/Datos!J14),Datos!K14/Datos!J14," - ")</f>
        <v>0.81127450980392157</v>
      </c>
      <c r="BH14" s="1050">
        <f>IF(ISNUMBER(((Datos!L14/Datos!K14)*11)/factor_trimestre),((Datos!L14/Datos!K14)*11)/factor_trimestre," - ")</f>
        <v>16.259818731117825</v>
      </c>
      <c r="BI14" s="1046">
        <f>IF(ISNUMBER('Resol  Asuntos'!D14/NºAsuntos!G14),'Resol  Asuntos'!D14/NºAsuntos!G14," - ")</f>
        <v>0.15345268542199489</v>
      </c>
      <c r="BJ14" s="1046" t="str">
        <f>IF(ISNUMBER(Datos!CI14/Datos!CJ14),Datos!CI14/Datos!CJ14," - ")</f>
        <v xml:space="preserve"> - </v>
      </c>
      <c r="BK14" s="1046">
        <f>SUBTOTAL(9,BK8:BK13)</f>
        <v>0</v>
      </c>
      <c r="BL14" s="1046">
        <f>IF(ISNUMBER((I14-AB14+L14)/(F14)),(I14-AB14+L14)/(F14)," - ")</f>
        <v>-0.23529411764705882</v>
      </c>
      <c r="BM14" s="1051">
        <f>SUBTOTAL(9,BM9:BM13)</f>
        <v>3.9787798408488062E-2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940</v>
      </c>
      <c r="G17" s="651">
        <f>IF(ISNUMBER(IF(D_I="SI",Datos!I17,Datos!I17+Datos!AC17)),IF(D_I="SI",Datos!I17,Datos!I17+Datos!AC17)," - ")</f>
        <v>937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288</v>
      </c>
      <c r="AC17" s="231">
        <f>IF(ISNUMBER(Datos!Q17),Datos!Q17," - ")</f>
        <v>1</v>
      </c>
      <c r="AD17" s="344"/>
      <c r="AE17" s="516"/>
      <c r="AF17" s="649">
        <f>IF(ISNUMBER(IF(D_I="SI",Datos!L17,Datos!L17+Datos!AF17)),IF(D_I="SI",Datos!L17,Datos!L17+Datos!AF17)," - ")</f>
        <v>953</v>
      </c>
      <c r="AG17" s="344"/>
      <c r="AH17" s="344"/>
      <c r="AI17" s="344"/>
      <c r="AJ17" s="504"/>
      <c r="AK17" s="344"/>
      <c r="AL17" s="500"/>
      <c r="AM17" s="345">
        <f>IF(ISNUMBER(Datos!R17),Datos!R17," - ")</f>
        <v>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22</v>
      </c>
      <c r="BD17" s="234">
        <f>IF(ISNUMBER(Datos!N17),Datos!N17," - ")</f>
        <v>178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0.95681063122923593</v>
      </c>
      <c r="BH17" s="670">
        <f>IF(ISNUMBER(((IF(D_I="SI",Datos!L17/Datos!K17,(Datos!L17+Datos!AF17)/(Datos!K17+Datos!AE17)))*11)/factor_trimestre),((IF(D_I="SI",Datos!L17/Datos!K17,(Datos!L17+Datos!AF17)/(Datos!K17+Datos!AE17)))*11)/factor_trimestre," - ")</f>
        <v>9.9270833333333339</v>
      </c>
      <c r="BI17" s="248">
        <f>IF(ISNUMBER('Resol  Asuntos'!D17/NºAsuntos!G17),'Resol  Asuntos'!D17/NºAsuntos!G17," - ")</f>
        <v>7.6388888888888895E-2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55</v>
      </c>
      <c r="AC18" s="502">
        <f>IF(ISNUMBER(Datos!Q18),Datos!Q18," - ")</f>
        <v>6</v>
      </c>
      <c r="AD18" s="504"/>
      <c r="AE18" s="516"/>
      <c r="AF18" s="506">
        <f>IF(ISNUMBER(Datos!L18),Datos!L18,"-")</f>
        <v>75</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0.87301587301587302</v>
      </c>
      <c r="BH18" s="670">
        <f>IF(ISNUMBER(((IF(D_I="SI",Datos!L18/Datos!K18,(Datos!L18+Datos!AF18)/(Datos!K18+Datos!AE18)))*11)/factor_trimestre),((IF(D_I="SI",Datos!L18/Datos!K18,(Datos!L18+Datos!AF18)/(Datos!K18+Datos!AE18)))*11)/factor_trimestre," - ")</f>
        <v>4.0909090909090908</v>
      </c>
      <c r="BI18" s="669">
        <f>IF(ISNUMBER('Resol  Asuntos'!D18/NºAsuntos!G18),'Resol  Asuntos'!D18/NºAsuntos!G18," - ")</f>
        <v>1.8181818181818181E-2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940</v>
      </c>
      <c r="G20" s="1045">
        <f>SUBTOTAL(9,G16:G19)</f>
        <v>1004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343</v>
      </c>
      <c r="AC20" s="1046">
        <f t="shared" si="5"/>
        <v>7</v>
      </c>
      <c r="AD20" s="1046">
        <f t="shared" si="5"/>
        <v>0</v>
      </c>
      <c r="AE20" s="1046">
        <f t="shared" si="5"/>
        <v>0</v>
      </c>
      <c r="AF20" s="1046">
        <f t="shared" si="5"/>
        <v>1028</v>
      </c>
      <c r="AG20" s="1046">
        <f t="shared" si="5"/>
        <v>0</v>
      </c>
      <c r="AH20" s="1046">
        <f t="shared" si="5"/>
        <v>0</v>
      </c>
      <c r="AI20" s="1046">
        <f t="shared" si="5"/>
        <v>0</v>
      </c>
      <c r="AJ20" s="1046">
        <f t="shared" si="5"/>
        <v>0</v>
      </c>
      <c r="AK20" s="1046">
        <f t="shared" si="5"/>
        <v>0</v>
      </c>
      <c r="AL20" s="1046">
        <f t="shared" si="5"/>
        <v>0</v>
      </c>
      <c r="AM20" s="1046">
        <f t="shared" si="5"/>
        <v>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212</v>
      </c>
      <c r="BE20" s="1046">
        <f t="shared" si="5"/>
        <v>0</v>
      </c>
      <c r="BF20" s="1046">
        <f t="shared" si="5"/>
        <v>0</v>
      </c>
      <c r="BG20" s="1046">
        <f>IF(ISNUMBER(Datos!K20/Datos!J20),Datos!K20/Datos!J20," - ")</f>
        <v>0.94230769230769229</v>
      </c>
      <c r="BH20" s="1050">
        <f>IF(ISNUMBER(((Datos!L20/Datos!K20)*11)/factor_trimestre),((Datos!L20/Datos!K20)*11)/factor_trimestre," - ")</f>
        <v>8.9912536443148685</v>
      </c>
      <c r="BI20" s="1046">
        <f>SUBTOTAL(9,BI16:BI19)</f>
        <v>9.4570707070707083E-2</v>
      </c>
      <c r="BJ20" s="1046">
        <f>SUBTOTAL(9,BJ16:BJ19)</f>
        <v>0</v>
      </c>
      <c r="BK20" s="1046">
        <f>SUBTOTAL(9,BK16:BK19)</f>
        <v>0</v>
      </c>
      <c r="BL20" s="1046">
        <f>IF(ISNUMBER((I20-AB20+L20)/(F20)),(I20-AB20+L20)/(F20)," - ")</f>
        <v>-0.3648936170212766</v>
      </c>
      <c r="BM20" s="1052">
        <f>IF(ISNUMBER((Datos!P20-Datos!Q20)/(Datos!R20-Datos!P20+Datos!Q20)),(Datos!P20-Datos!Q20)/(Datos!R20-Datos!P20+Datos!Q20)," - ")</f>
        <v>-8.5106382978723402E-2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957</v>
      </c>
      <c r="G21" s="967">
        <f t="shared" si="7"/>
        <v>1021</v>
      </c>
      <c r="H21" s="969">
        <f t="shared" si="7"/>
        <v>0</v>
      </c>
      <c r="I21" s="967">
        <f t="shared" si="7"/>
        <v>0</v>
      </c>
      <c r="J21" s="969">
        <f t="shared" si="7"/>
        <v>0</v>
      </c>
      <c r="K21" s="969">
        <f t="shared" si="7"/>
        <v>0</v>
      </c>
      <c r="L21" s="1028">
        <f t="shared" si="7"/>
        <v>0</v>
      </c>
      <c r="M21" s="1028">
        <f t="shared" si="7"/>
        <v>0</v>
      </c>
      <c r="N21" s="1028">
        <f t="shared" si="7"/>
        <v>40</v>
      </c>
      <c r="O21" s="1028">
        <f t="shared" si="7"/>
        <v>0</v>
      </c>
      <c r="P21" s="1028">
        <f t="shared" si="7"/>
        <v>0</v>
      </c>
      <c r="Q21" s="969">
        <f t="shared" si="7"/>
        <v>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347</v>
      </c>
      <c r="AC21" s="968">
        <f t="shared" si="8"/>
        <v>41</v>
      </c>
      <c r="AD21" s="968">
        <f t="shared" si="8"/>
        <v>0</v>
      </c>
      <c r="AE21" s="968">
        <f t="shared" si="8"/>
        <v>0</v>
      </c>
      <c r="AF21" s="975">
        <f t="shared" si="8"/>
        <v>1048</v>
      </c>
      <c r="AG21" s="975">
        <f t="shared" si="8"/>
        <v>0</v>
      </c>
      <c r="AH21" s="975">
        <f t="shared" si="8"/>
        <v>76</v>
      </c>
      <c r="AI21" s="975">
        <f t="shared" si="8"/>
        <v>0</v>
      </c>
      <c r="AJ21" s="968">
        <f t="shared" si="8"/>
        <v>0</v>
      </c>
      <c r="AK21" s="975">
        <f t="shared" si="8"/>
        <v>0</v>
      </c>
      <c r="AL21" s="975">
        <f t="shared" si="8"/>
        <v>0</v>
      </c>
      <c r="AM21" s="975">
        <f t="shared" si="8"/>
        <v>1222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83</v>
      </c>
      <c r="BD21" s="967">
        <f t="shared" si="8"/>
        <v>422</v>
      </c>
      <c r="BE21" s="967">
        <f t="shared" si="8"/>
        <v>0</v>
      </c>
      <c r="BF21" s="977">
        <f t="shared" si="8"/>
        <v>0</v>
      </c>
      <c r="BG21" s="1062">
        <f>IF(ISNUMBER(Datos!K21/Datos!J21),Datos!K21/Datos!J21," - ")</f>
        <v>0.87305699481865284</v>
      </c>
      <c r="BH21" s="1062">
        <f>IF(ISNUMBER(((Datos!L21/Datos!K21)*11)/factor_trimestre),((Datos!L21/Datos!K21)*11)/factor_trimestre," - ")</f>
        <v>12.560830860534125</v>
      </c>
      <c r="BI21" s="960">
        <f>IF(ISNUMBER(Datos!J21/Datos!I21),Datos!J21/Datos!I21," - ")</f>
        <v>0.28371922087467843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-0.36259143155694878</v>
      </c>
      <c r="BM21" s="1036">
        <f>IF(ISNUMBER((Datos!P21-Datos!Q21+R21)/(Datos!R21-Datos!P21+Datos!Q21-R21)),(Datos!P21-Datos!Q21+R21)/(Datos!R21-Datos!P21+Datos!Q21-R21)," - ")</f>
        <v>3.4716342082980522E-2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532.89429846202461</v>
      </c>
      <c r="G23" s="601">
        <f>IF(ISNUMBER(STDEV(G8:G20)),STDEV(G8:G20),"-")</f>
        <v>514.07664798160204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163.80079364887095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26.035872688785883</v>
      </c>
      <c r="BD23" s="600"/>
      <c r="BE23" s="600">
        <f>IF(ISNUMBER(STDEV(BE8:BE20)),STDEV(BE8:BE20),"-")</f>
        <v>0</v>
      </c>
      <c r="BF23" s="605">
        <f>IF(ISNUMBER(STDEV(BF8:BF20)),STDEV(BF8:BF20),"-")</f>
        <v>0</v>
      </c>
      <c r="BG23" s="915">
        <f>IF(ISNUMBER(STDEV(BG8:BG20)),STDEV(BG8:BG20),"-")</f>
        <v>0.14110834431459426</v>
      </c>
      <c r="BH23" s="919">
        <f>IF(ISNUMBER(STDEV(BH8:BH20)),STDEV(BH8:BH20),"-")</f>
        <v>4.6176793434384145</v>
      </c>
      <c r="BI23" s="254">
        <f>IF(ISNUMBER(STDEV(BI8:BI20)),STDEV(BI8:BI20),"-")</f>
        <v>5.5721051955956342E-2</v>
      </c>
      <c r="BJ23" s="235" t="str">
        <f>IF(ISNUMBER(BL23/BM23),BL23/BM23," - ")</f>
        <v xml:space="preserve"> - </v>
      </c>
      <c r="BK23" s="627"/>
      <c r="BL23" s="608">
        <f>IF(ISNUMBER(STDEV(BL8:BL20)),STDEV(BL8:BL20),"-")</f>
        <v>9.1640684845891121E-2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dhjkAJVF6RXek7d/o6Nur9ot7Ef+Nt00FqbsQNcDvUq0bPKX1+8yZ4oMphqH+3LmpE1n6JqyCfY6ogm2bgnYw==" saltValue="Uv5e8iormpvIpEKWED5c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TORRELAGUNA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17</v>
      </c>
      <c r="G10" s="507">
        <f>IF(ISNUMBER(Datos!I10),Datos!I10," - ")</f>
        <v>17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20</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34</v>
      </c>
      <c r="AA12" s="506" t="str">
        <f>IF(ISNUMBER(IF(J_V="SI",Datos!L12,Datos!L12+Datos!AB12)-IF(Monitorios="SI",Datos!CD12,0)),
                          IF(J_V="SI",Datos!L12,Datos!L12+Datos!AB12)-IF(Monitorios="SI",Datos!CD12,0),
                          " - ")</f>
        <v xml:space="preserve"> - </v>
      </c>
      <c r="AB12" s="504"/>
      <c r="AC12" s="504"/>
      <c r="AD12" s="517"/>
      <c r="AE12" s="517">
        <f>IF(ISNUMBER(Datos!R12),Datos!R12," - ")</f>
        <v>1176</v>
      </c>
      <c r="AF12" s="620" t="str">
        <f>IF(ISNUMBER(Datos!BV12),Datos!BV12," - ")</f>
        <v xml:space="preserve"> - </v>
      </c>
      <c r="AG12" s="507" t="str">
        <f>IF(ISNUMBER(Datos!DV12),Datos!DV12," - ")</f>
        <v xml:space="preserve"> - </v>
      </c>
      <c r="AH12" s="508"/>
      <c r="AI12" s="509"/>
      <c r="AJ12" s="507">
        <f>IF(ISNUMBER(Datos!M12),Datos!M12," - ")</f>
        <v>58</v>
      </c>
      <c r="AK12" s="620">
        <f>IF(ISNUMBER(Datos!N12),Datos!N12," - ")</f>
        <v>210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14.34108527131783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3.9787798408488062E-2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17</v>
      </c>
      <c r="G14" s="1045">
        <f>SUBTOTAL(9,G8:G13)</f>
        <v>17</v>
      </c>
      <c r="H14" s="1055"/>
      <c r="I14" s="1045">
        <f t="shared" ref="I14:N14" si="1">SUBTOTAL(9,I8:I13)</f>
        <v>0</v>
      </c>
      <c r="J14" s="1014">
        <f t="shared" si="1"/>
        <v>0</v>
      </c>
      <c r="K14" s="1055">
        <f t="shared" si="1"/>
        <v>0</v>
      </c>
      <c r="L14" s="1055">
        <f t="shared" si="1"/>
        <v>0</v>
      </c>
      <c r="M14" s="1055">
        <f t="shared" si="1"/>
        <v>0</v>
      </c>
      <c r="N14" s="1055">
        <f t="shared" si="1"/>
        <v>79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34</v>
      </c>
      <c r="AA14" s="1047">
        <f t="shared" si="3"/>
        <v>20</v>
      </c>
      <c r="AB14" s="1047">
        <f t="shared" si="3"/>
        <v>0</v>
      </c>
      <c r="AC14" s="1047">
        <f t="shared" si="3"/>
        <v>0</v>
      </c>
      <c r="AD14" s="1047">
        <f t="shared" si="3"/>
        <v>0</v>
      </c>
      <c r="AE14" s="1047">
        <f t="shared" si="3"/>
        <v>1179</v>
      </c>
      <c r="AF14" s="1055">
        <f t="shared" si="3"/>
        <v>0</v>
      </c>
      <c r="AG14" s="1055">
        <f t="shared" si="3"/>
        <v>0</v>
      </c>
      <c r="AH14" s="1055">
        <f t="shared" si="3"/>
        <v>0</v>
      </c>
      <c r="AI14" s="1055">
        <f t="shared" si="3"/>
        <v>0</v>
      </c>
      <c r="AJ14" s="1055">
        <f t="shared" si="3"/>
        <v>60</v>
      </c>
      <c r="AK14" s="1055">
        <f t="shared" si="3"/>
        <v>210</v>
      </c>
      <c r="AL14" s="1055">
        <f t="shared" si="3"/>
        <v>0</v>
      </c>
      <c r="AM14" s="1055">
        <f t="shared" si="3"/>
        <v>0</v>
      </c>
      <c r="AN14" s="1055">
        <f t="shared" si="3"/>
        <v>0</v>
      </c>
      <c r="AO14" s="1051">
        <f>IF(ISNUMBER(((NºAsuntos!I14/NºAsuntos!G14)*11)/factor_trimestre),((NºAsuntos!I14/NºAsuntos!G14)*11)/factor_trimestre," - ")</f>
        <v>14.347826086956523</v>
      </c>
      <c r="AP14" s="1057" t="str">
        <f>IF(ISNUMBER(Datos!CI14/Datos!CJ14),Datos!CI14/Datos!CJ14," - ")</f>
        <v xml:space="preserve"> - </v>
      </c>
      <c r="AQ14" s="1075">
        <f t="shared" ref="AQ14:AV14" si="4">SUBTOTAL(9,AQ9:AQ13)</f>
        <v>0</v>
      </c>
      <c r="AR14" s="1075">
        <f t="shared" si="4"/>
        <v>3.9787798408488062E-2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940</v>
      </c>
      <c r="G17" s="507">
        <f>IF(ISNUMBER(IF(D_I="SI",Datos!I17,Datos!I17+Datos!AC17)),IF(D_I="SI",Datos!I17,Datos!I17+Datos!AC17)," - ")</f>
        <v>937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288</v>
      </c>
      <c r="Z17" s="704">
        <f>IF(ISNUMBER(Datos!Q17),Datos!Q17," - ")</f>
        <v>1</v>
      </c>
      <c r="AA17" s="506">
        <f>IF(ISNUMBER(IF(D_I="SI",Datos!L17,Datos!L17+Datos!AF17)),IF(D_I="SI",Datos!L17,Datos!L17+Datos!AF17)," - ")</f>
        <v>953</v>
      </c>
      <c r="AB17" s="504"/>
      <c r="AC17" s="504"/>
      <c r="AD17" s="517"/>
      <c r="AE17" s="517">
        <f>IF(ISNUMBER(Datos!R17),Datos!R17," - ")</f>
        <v>42</v>
      </c>
      <c r="AF17" s="620" t="str">
        <f>IF(ISNUMBER(Datos!BV17),Datos!BV17," - ")</f>
        <v xml:space="preserve"> - </v>
      </c>
      <c r="AG17" s="507"/>
      <c r="AH17" s="508"/>
      <c r="AI17" s="509"/>
      <c r="AJ17" s="507">
        <f>IF(ISNUMBER(Datos!M17),Datos!M17," - ")</f>
        <v>22</v>
      </c>
      <c r="AK17" s="620">
        <f>IF(ISNUMBER(Datos!N17),Datos!N17," - ")</f>
        <v>178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9.9270833333333339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55</v>
      </c>
      <c r="Z18" s="704">
        <f>IF(ISNUMBER(Datos!Q18),Datos!Q18," - ")</f>
        <v>6</v>
      </c>
      <c r="AA18" s="506">
        <f>IF(ISNUMBER(Datos!L18),Datos!L18,"-")</f>
        <v>75</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4.0909090909090908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940</v>
      </c>
      <c r="G20" s="1045">
        <f>SUBTOTAL(9,G16:G19)</f>
        <v>1004</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343</v>
      </c>
      <c r="Z20" s="1079">
        <f t="shared" si="6"/>
        <v>7</v>
      </c>
      <c r="AA20" s="1079">
        <f t="shared" si="6"/>
        <v>1028</v>
      </c>
      <c r="AB20" s="1079">
        <f t="shared" si="6"/>
        <v>0</v>
      </c>
      <c r="AC20" s="1079">
        <f t="shared" si="6"/>
        <v>0</v>
      </c>
      <c r="AD20" s="1079">
        <f t="shared" si="6"/>
        <v>0</v>
      </c>
      <c r="AE20" s="1079">
        <f t="shared" si="6"/>
        <v>43</v>
      </c>
      <c r="AF20" s="1079">
        <f t="shared" si="6"/>
        <v>0</v>
      </c>
      <c r="AG20" s="1079">
        <f t="shared" si="6"/>
        <v>0</v>
      </c>
      <c r="AH20" s="1079">
        <f t="shared" si="6"/>
        <v>0</v>
      </c>
      <c r="AI20" s="1079">
        <f t="shared" si="6"/>
        <v>0</v>
      </c>
      <c r="AJ20" s="1079">
        <f t="shared" si="6"/>
        <v>23</v>
      </c>
      <c r="AK20" s="1079">
        <f t="shared" si="6"/>
        <v>212</v>
      </c>
      <c r="AL20" s="1079">
        <f t="shared" si="6"/>
        <v>0</v>
      </c>
      <c r="AM20" s="1079">
        <f t="shared" si="6"/>
        <v>0</v>
      </c>
      <c r="AN20" s="1079">
        <f t="shared" si="6"/>
        <v>0</v>
      </c>
      <c r="AO20" s="1081">
        <f>IF(ISNUMBER(((NºAsuntos!I20/NºAsuntos!G20)*11)/factor_trimestre),((NºAsuntos!I20/NºAsuntos!G20)*11)/factor_trimestre," - ")</f>
        <v>8.9912536443148685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957</v>
      </c>
      <c r="G21" s="967">
        <f t="shared" si="8"/>
        <v>1021</v>
      </c>
      <c r="H21" s="968">
        <f t="shared" si="8"/>
        <v>0</v>
      </c>
      <c r="I21" s="967">
        <f t="shared" si="8"/>
        <v>0</v>
      </c>
      <c r="J21" s="969">
        <f t="shared" si="8"/>
        <v>0</v>
      </c>
      <c r="K21" s="967">
        <f t="shared" si="8"/>
        <v>0</v>
      </c>
      <c r="L21" s="970">
        <f t="shared" si="8"/>
        <v>0</v>
      </c>
      <c r="M21" s="967">
        <f t="shared" si="8"/>
        <v>0</v>
      </c>
      <c r="N21" s="968">
        <f t="shared" si="8"/>
        <v>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347</v>
      </c>
      <c r="Z21" s="974">
        <f t="shared" si="9"/>
        <v>41</v>
      </c>
      <c r="AA21" s="975">
        <f t="shared" si="9"/>
        <v>1048</v>
      </c>
      <c r="AB21" s="975">
        <f t="shared" si="9"/>
        <v>0</v>
      </c>
      <c r="AC21" s="975">
        <f t="shared" si="9"/>
        <v>0</v>
      </c>
      <c r="AD21" s="976">
        <f t="shared" si="9"/>
        <v>0</v>
      </c>
      <c r="AE21" s="976">
        <f t="shared" si="9"/>
        <v>1222</v>
      </c>
      <c r="AF21" s="977">
        <f t="shared" si="9"/>
        <v>0</v>
      </c>
      <c r="AG21" s="978">
        <f t="shared" si="9"/>
        <v>0</v>
      </c>
      <c r="AH21" s="979">
        <f t="shared" si="9"/>
        <v>0</v>
      </c>
      <c r="AI21" s="977">
        <f t="shared" si="9"/>
        <v>0</v>
      </c>
      <c r="AJ21" s="967">
        <f t="shared" si="9"/>
        <v>83</v>
      </c>
      <c r="AK21" s="967">
        <f t="shared" si="9"/>
        <v>422</v>
      </c>
      <c r="AL21" s="967">
        <f t="shared" si="9"/>
        <v>0</v>
      </c>
      <c r="AM21" s="980">
        <f t="shared" si="9"/>
        <v>0</v>
      </c>
      <c r="AN21" s="970">
        <f>IF(ISNUMBER(Datos!K21/Datos!J21),Datos!K21/Datos!J21," - ")</f>
        <v>0.87305699481865284</v>
      </c>
      <c r="AO21" s="970">
        <f>IF(ISNUMBER(FIND("06",Criterios!A8,1)),(IF(ISNUMBER(((Datos!R21/Datos!Q21)*11)/factor_trimestre),((Datos!R21/Datos!Q21)*11)/factor_trimestre," - ")),(IF(ISNUMBER(((Datos!L21/Datos!K21)*11)/factor_trimestre),((Datos!L21/Datos!K21)*11)/factor_trimestre," - ")))</f>
        <v>12.560830860534125</v>
      </c>
      <c r="AP21" s="981" t="str">
        <f>IF(ISNUMBER(Datos!CI21/Datos!CJ21),Datos!CI21/Datos!CJ21," - ")</f>
        <v xml:space="preserve"> - </v>
      </c>
      <c r="AQ21" s="981">
        <f>IF(OR(ISNUMBER(FIND("01",Criterios!A8,1)),ISNUMBER(FIND("02",Criterios!A8,1)),ISNUMBER(FIND("03",Criterios!A8,1)),ISNUMBER(FIND("04",Criterios!A8,1))),(J21-Y21+K21)/(F21-K21),(I21-Y21+K21)/(F21-K21))</f>
        <v>-0.36259143155694878</v>
      </c>
      <c r="AR21" s="981">
        <f>IF(ISNUMBER((Datos!P21-Datos!Q21+O21)/(Datos!R21-Datos!P21+Datos!Q21-O21)),(Datos!P21-Datos!Q21+O21)/(Datos!R21-Datos!P21+Datos!Q21-O21)," - ")</f>
        <v>3.4716342082980522E-2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532.89429846202461</v>
      </c>
      <c r="G23" s="601">
        <f>IF(ISNUMBER(STDEV(G8:G20)),STDEV(G8:G20),"-")</f>
        <v>514.07664798160204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26.035872688785883</v>
      </c>
      <c r="AK23" s="257"/>
      <c r="AL23" s="257">
        <f>IF(ISNUMBER(STDEV(AL8:AL20)),STDEV(AL8:AL20),"-")</f>
        <v>0</v>
      </c>
      <c r="AM23" s="259">
        <f>IF(ISNUMBER(STDEV(AM8:AM20)),STDEV(AM8:AM20),"-")</f>
        <v>0</v>
      </c>
      <c r="AN23" s="587">
        <f>IF(ISNUMBER(STDEV(AN8:AN20)),STDEV(AN8:AN20),"-")</f>
        <v>0</v>
      </c>
      <c r="AO23" s="588">
        <f>IF(ISNUMBER(STDEV(AO8:AO20)),STDEV(AO8:AO20),"-")</f>
        <v>4.2710959316110415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6gsJc1BRWdmc/R+QxOnp5OgsHJ80SFG/gwG9ghJzbJJMeKKWY1vXaAXGWYUbCoq1YxHHlalzE4eRKe97SOK3g==" saltValue="pVAMenqD2OTikk6Fc5YC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qLhQrFOXOEWhVRL6Ovwen+YMXJ9NtJoIEKYHQ8/xRMNYC/JtqAk5eNDsfNaKn3Bbx6BVhIq1RTTyMQaLK6qOQ==" saltValue="FWfLxaR/jYYu0Bje80Ni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si0OLLhDKpIoMACrMhRFa2+Psu/JohNJWvg0FlUvAoumyRxW6La4C5Z9vMNAJ1CBIxcUaBhNsxZDdvojmw5bg==" saltValue="mmsUn6GbvX9ntPLexmv0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TORRELAGUNA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0.15345268542199489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0.10850743445317865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p/SG/yU+nlye2FswzdrtZ6kZjhi0NgVSzbbaaWlT3tEXfdB+wRO3Uj9ATieupc4xBAOhrmOC9YMYifqiEgnbg==" saltValue="dbnyJKn525mXnG9QRvRK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a40Eu9J11M4SojUiOBAsN52ctWQDXQf4k91GGYPS3jR6ui6cd7EYbjK3+YO7wcVihyBigCOrG8HSqx9DI5WRA==" saltValue="Xz6ahvR7H0DFDc0ltb8J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TORRELAGUNA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v>
      </c>
      <c r="D10" s="416">
        <f>IF(ISNUMBER(C10/Datos!BH10),C10/Datos!BH10," - ")</f>
        <v>17</v>
      </c>
      <c r="E10" s="415">
        <f>IF(ISNUMBER(Datos!J10),Datos!J10," - ")</f>
        <v>7</v>
      </c>
      <c r="F10" s="416">
        <f>IF(ISNUMBER(E10/B10),E10/B10," - ")</f>
        <v>7</v>
      </c>
      <c r="G10" s="415">
        <f>IF(ISNUMBER(Datos!K10),Datos!K10," - ")</f>
        <v>4</v>
      </c>
      <c r="H10" s="416">
        <f>IF(ISNUMBER(G10/B10),G10/B10," - ")</f>
        <v>4</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1796</v>
      </c>
      <c r="D12" s="416">
        <f>IF(ISNUMBER(C12/Datos!BH12),C12/Datos!BH12," - ")</f>
        <v>898</v>
      </c>
      <c r="E12" s="415">
        <f>IF(ISNUMBER(IF(J_V="SI",Datos!J12,Datos!J12+Datos!Z12)),IF(J_V="SI",Datos!J12,Datos!J12+Datos!Z12)," - ")</f>
        <v>441</v>
      </c>
      <c r="F12" s="416">
        <f>IF(ISNUMBER(E12/B12),E12/B12," - ")</f>
        <v>220.5</v>
      </c>
      <c r="G12" s="415">
        <f>IF(ISNUMBER(IF(J_V="SI",Datos!K12,Datos!K12+Datos!AA12)),IF(J_V="SI",Datos!K12,Datos!K12+Datos!AA12)," - ")</f>
        <v>387</v>
      </c>
      <c r="H12" s="416">
        <f>IF(ISNUMBER(G12/B12),G12/B12," - ")</f>
        <v>193.5</v>
      </c>
      <c r="I12" s="415">
        <f>IF(ISNUMBER(IF(J_V="SI",Datos!L12,Datos!L12+Datos!AB12)),IF(J_V="SI",Datos!L12,Datos!L12+Datos!AB12)," - ")</f>
        <v>1850</v>
      </c>
      <c r="J12" s="416">
        <f>IF(ISNUMBER(I12/B12),I12/B12," - ")</f>
        <v>925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1813</v>
      </c>
      <c r="D14" s="997" t="str">
        <f>IF(ISNUMBER(C14/Datos!BI14),C14/Datos!BI14," - ")</f>
        <v xml:space="preserve"> - </v>
      </c>
      <c r="E14" s="996">
        <f>SUBTOTAL(9,E8:E13)</f>
        <v>448</v>
      </c>
      <c r="F14" s="997">
        <f>IF(ISNUMBER(E14/B14),E14/B14," - ")</f>
        <v>224</v>
      </c>
      <c r="G14" s="996">
        <f>SUBTOTAL(9,G8:G13)</f>
        <v>391</v>
      </c>
      <c r="H14" s="997">
        <f>IF(ISNUMBER(G14/B14),G14/B14," - ")</f>
        <v>195.5</v>
      </c>
      <c r="I14" s="996">
        <f>SUBTOTAL(9,I8:I13)</f>
        <v>1870</v>
      </c>
      <c r="J14" s="997">
        <f>IF(ISNUMBER(I14/B14),I14/B14," - ")</f>
        <v>935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937</v>
      </c>
      <c r="D17" s="416">
        <f>IF(ISNUMBER(C17/Datos!BH17),C17/Datos!BH17," - ")</f>
        <v>468.5</v>
      </c>
      <c r="E17" s="415">
        <f>IF(ISNUMBER(IF(D_I="SI",Datos!J17,Datos!J17+Datos!AD17)),IF(D_I="SI",Datos!J17,Datos!J17+Datos!AD17)," - ")</f>
        <v>301</v>
      </c>
      <c r="F17" s="416">
        <f>IF(ISNUMBER(E17/B17),E17/B17," - ")</f>
        <v>150.5</v>
      </c>
      <c r="G17" s="415">
        <f>IF(ISNUMBER(IF(D_I="SI",Datos!K17,Datos!K17+Datos!AE17)),IF(D_I="SI",Datos!K17,Datos!K17+Datos!AE17)," - ")</f>
        <v>288</v>
      </c>
      <c r="H17" s="416">
        <f>IF(ISNUMBER(G17/B17),G17/B17," - ")</f>
        <v>144</v>
      </c>
      <c r="I17" s="415">
        <f>IF(ISNUMBER(IF(D_I="SI",Datos!L17,Datos!L17+Datos!AF17)),IF(D_I="SI",Datos!L17,Datos!L17+Datos!AF17)," - ")</f>
        <v>953</v>
      </c>
      <c r="J17" s="416">
        <f>IF(ISNUMBER(I17/B17),I17/B17," - ")</f>
        <v>476.5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67</v>
      </c>
      <c r="D18" s="416">
        <f>IF(ISNUMBER(C18/Datos!BH18),C18/Datos!BH18," - ")</f>
        <v>67</v>
      </c>
      <c r="E18" s="415">
        <f>IF(ISNUMBER(IF(D_I="SI",Datos!J18,Datos!J18+Datos!AD18)),IF(D_I="SI",Datos!J18,Datos!J18+Datos!AD18)," - ")</f>
        <v>63</v>
      </c>
      <c r="F18" s="416">
        <f>IF(ISNUMBER(E18/B18),E18/B18," - ")</f>
        <v>63</v>
      </c>
      <c r="G18" s="415">
        <f>IF(ISNUMBER(IF(D_I="SI",Datos!K18,Datos!K18+Datos!AE18)),IF(D_I="SI",Datos!K18,Datos!K18+Datos!AE18)," - ")</f>
        <v>55</v>
      </c>
      <c r="H18" s="416">
        <f>IF(ISNUMBER(G18/B18),G18/B18," - ")</f>
        <v>55</v>
      </c>
      <c r="I18" s="415">
        <f>IF(ISNUMBER(IF(D_I="SI",Datos!L18,Datos!L18+Datos!AF18)),IF(D_I="SI",Datos!L18,Datos!L18+Datos!AF18)," - ")</f>
        <v>75</v>
      </c>
      <c r="J18" s="416">
        <f>IF(ISNUMBER(I18/B18),I18/B18," - ")</f>
        <v>75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1004</v>
      </c>
      <c r="D20" s="997" t="str">
        <f>IF(ISNUMBER(C20/Datos!BI20),C20/Datos!BI20," - ")</f>
        <v xml:space="preserve"> - </v>
      </c>
      <c r="E20" s="996">
        <f>SUBTOTAL(9,E15:E19)</f>
        <v>364</v>
      </c>
      <c r="F20" s="997">
        <f>IF(ISNUMBER(E20/B20),E20/B20," - ")</f>
        <v>182</v>
      </c>
      <c r="G20" s="996">
        <f>SUBTOTAL(9,G15:G19)</f>
        <v>343</v>
      </c>
      <c r="H20" s="997">
        <f>IF(ISNUMBER(G20/B20),G20/B20," - ")</f>
        <v>171.5</v>
      </c>
      <c r="I20" s="996">
        <f>SUBTOTAL(9,I15:I19)</f>
        <v>1028</v>
      </c>
      <c r="J20" s="997">
        <f>IF(ISNUMBER(I20/B20),I20/B20," - ")</f>
        <v>514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2817</v>
      </c>
      <c r="D21" s="942" t="str">
        <f>IF(ISNUMBER(C21/Datos!BI21),C21/Datos!BI21," - ")</f>
        <v xml:space="preserve"> - </v>
      </c>
      <c r="E21" s="941">
        <f>SUBTOTAL(9,E9:E20)</f>
        <v>812</v>
      </c>
      <c r="F21" s="942">
        <f>IF(ISNUMBER(E21/B21),E21/B21," - ")</f>
        <v>406</v>
      </c>
      <c r="G21" s="941">
        <f>SUBTOTAL(9,G9:G20)</f>
        <v>734</v>
      </c>
      <c r="H21" s="942">
        <f>IF(ISNUMBER(G21/B21),G21/B21," - ")</f>
        <v>367</v>
      </c>
      <c r="I21" s="941">
        <f>SUBTOTAL(9,I9:I20)</f>
        <v>2898</v>
      </c>
      <c r="J21" s="942">
        <f>IF(ISNUMBER(I21/B21),I21/B21," - ")</f>
        <v>1449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1BPKtcx5VRtl7ubXHRj6CT6Hk+3IS6j+GnoLJPZZQMAu0qq2j9Wmhw87LdNmw+V72lfKIPyqIX03r/Uz6u8kw==" saltValue="v0wIhQRvrgCzTOdaTmHI9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TORRELAGUNA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17</v>
      </c>
      <c r="G10" s="803">
        <f>IF(ISNUMBER(Datos!I10),Datos!I10," - ")</f>
        <v>17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1176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58</v>
      </c>
      <c r="AM12" s="811">
        <f>IF(ISNUMBER(Datos!N12+DatosP!N17),Datos!N12+DatosP!N17," - ")</f>
        <v>210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14.34108527131783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3.9787798408488062E-2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17</v>
      </c>
      <c r="G14" s="1085">
        <f t="shared" si="0"/>
        <v>17</v>
      </c>
      <c r="H14" s="1085">
        <f t="shared" si="0"/>
        <v>0</v>
      </c>
      <c r="I14" s="1087">
        <f t="shared" si="0"/>
        <v>0</v>
      </c>
      <c r="J14" s="1086">
        <f t="shared" si="0"/>
        <v>0</v>
      </c>
      <c r="K14" s="1086">
        <f t="shared" si="0"/>
        <v>0</v>
      </c>
      <c r="L14" s="1088">
        <f t="shared" si="0"/>
        <v>0</v>
      </c>
      <c r="M14" s="1088">
        <f t="shared" si="0"/>
        <v>0</v>
      </c>
      <c r="N14" s="1086">
        <f t="shared" si="0"/>
        <v>79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34</v>
      </c>
      <c r="AE14" s="1086">
        <f t="shared" si="1"/>
        <v>0</v>
      </c>
      <c r="AF14" s="1086">
        <f t="shared" si="1"/>
        <v>20</v>
      </c>
      <c r="AG14" s="1086">
        <f t="shared" si="1"/>
        <v>0</v>
      </c>
      <c r="AH14" s="1086">
        <f t="shared" si="1"/>
        <v>1176</v>
      </c>
      <c r="AI14" s="1086">
        <f t="shared" si="1"/>
        <v>0</v>
      </c>
      <c r="AJ14" s="1086">
        <f t="shared" si="1"/>
        <v>0</v>
      </c>
      <c r="AK14" s="1086">
        <f t="shared" si="1"/>
        <v>0</v>
      </c>
      <c r="AL14" s="1086">
        <f t="shared" si="1"/>
        <v>60</v>
      </c>
      <c r="AM14" s="1086">
        <f t="shared" si="1"/>
        <v>210</v>
      </c>
      <c r="AN14" s="1086">
        <f t="shared" si="1"/>
        <v>0</v>
      </c>
      <c r="AO14" s="1086">
        <f t="shared" si="1"/>
        <v>0</v>
      </c>
      <c r="AP14" s="1091">
        <f>IF(ISNUMBER(((Datos!L14/Datos!K14)*11)/factor_trimestre),((Datos!L14/Datos!K14)*11)/factor_trimestre," - ")</f>
        <v>16.259818731117825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-0.23529411764705882</v>
      </c>
      <c r="AU14" s="1086" t="str">
        <f>IF(ISNUMBER((DatosP!#REF!-DatosP!#REF!+DatosP!#REF!)/(DatosP!#REF!+DatosP!#REF!-DatosP!#REF!-DatosP!#REF!)),(DatosP!#REF!-DatosP!#REF!+DatosP!#REF!)/(DatosP!#REF!+DatosP!#REF!-DatosP!#REF!-DatosP!#REF!)," - ")</f>
        <v xml:space="preserve"> - </v>
      </c>
      <c r="AV14" s="1092">
        <f>SUBTOTAL(9,AV9:AV13)</f>
        <v>3.9787798408488062E-2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8.9912536443148685</v>
      </c>
      <c r="AQ20" s="1091">
        <f>IF(ISNUMBER(((Datos!M20/Datos!L20)*11)/factor_trimestre),((Datos!M20/Datos!L20)*11)/factor_trimestre," - ")</f>
        <v>6.7120622568093397E-2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-8.5106382978723402E-2</v>
      </c>
      <c r="AW20" s="1093">
        <f>IF(ISNUMBER((Datos!Q20-Datos!R20)/(Datos!S20-Datos!Q20+Datos!R20)),(Datos!Q20-Datos!R20)/(Datos!S20-Datos!Q20+Datos!R20)," - ")</f>
        <v>-4.7493403693931395E-2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17</v>
      </c>
      <c r="G21" s="1098">
        <f t="shared" si="4"/>
        <v>17</v>
      </c>
      <c r="H21" s="1098">
        <f t="shared" si="4"/>
        <v>0</v>
      </c>
      <c r="I21" s="1099">
        <f t="shared" si="4"/>
        <v>0</v>
      </c>
      <c r="J21" s="1100">
        <f t="shared" si="4"/>
        <v>0</v>
      </c>
      <c r="K21" s="1100">
        <f t="shared" si="4"/>
        <v>0</v>
      </c>
      <c r="L21" s="1100">
        <f t="shared" si="4"/>
        <v>0</v>
      </c>
      <c r="M21" s="1100">
        <f t="shared" si="4"/>
        <v>0</v>
      </c>
      <c r="N21" s="1099">
        <f t="shared" si="4"/>
        <v>79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34</v>
      </c>
      <c r="AE21" s="1104">
        <f t="shared" si="5"/>
        <v>0</v>
      </c>
      <c r="AF21" s="1105">
        <f t="shared" si="5"/>
        <v>20</v>
      </c>
      <c r="AG21" s="1105">
        <f t="shared" si="5"/>
        <v>0</v>
      </c>
      <c r="AH21" s="1105">
        <f t="shared" si="5"/>
        <v>1176</v>
      </c>
      <c r="AI21" s="1105">
        <f t="shared" si="5"/>
        <v>0</v>
      </c>
      <c r="AJ21" s="1106">
        <f t="shared" si="5"/>
        <v>0</v>
      </c>
      <c r="AK21" s="1106">
        <f t="shared" si="5"/>
        <v>0</v>
      </c>
      <c r="AL21" s="1098">
        <f t="shared" si="5"/>
        <v>60</v>
      </c>
      <c r="AM21" s="1098">
        <f t="shared" si="5"/>
        <v>210</v>
      </c>
      <c r="AN21" s="1098">
        <f t="shared" si="5"/>
        <v>0</v>
      </c>
      <c r="AO21" s="1098">
        <f t="shared" si="5"/>
        <v>0</v>
      </c>
      <c r="AP21" s="1098">
        <f>IF(ISNUMBER(((Datos!L21/Datos!K21)*11)/factor_trimestre),((Datos!L21/Datos!K21)*11)/factor_trimestre," - ")</f>
        <v>12.560830860534125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-0.23529411764705882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3.4716342082980522E-2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9.8149545762236379</v>
      </c>
      <c r="G23" s="871">
        <f>IF(ISNUMBER(STDEV(G8:G20)),STDEV(G8:G20),"-")</f>
        <v>9.8149545762236379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33.506218328344168</v>
      </c>
      <c r="AM23" s="870"/>
      <c r="AN23" s="870">
        <f>IF(ISNUMBER(STDEV(AN8:AN20)),STDEV(AN8:AN20),"-")</f>
        <v>0</v>
      </c>
      <c r="AO23" s="876">
        <f>IF(ISNUMBER(STDEV(AO8:AO20)),STDEV(AO8:AO20),"-")</f>
        <v>0</v>
      </c>
      <c r="AP23" s="923">
        <f>IF(ISNUMBER(STDEV(AP8:AP20)),STDEV(AP8:AP20),"-")</f>
        <v>3.2049521521394153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JEn2ShAjuc+0fEMoM5caBLthQdY/ivyKMy/lLYstWNfk3JxIZM9kZUpRqZdoASPCQ5lpPTvR861Pgrw3nRWA==" saltValue="2lybQR725zL774s2AgXm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TORRELAGUNA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X93RdJC029rFqCb+rhfNA0tOSHE43dNI2Ma3hfwimHxtBrgxwplb+csS/UcvywZLmkO5xpnUzmtVeJsjRO7wQ==" saltValue="IBaoGkqMOXRj3lMoF8Xos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TORRELAGUNA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58</v>
      </c>
      <c r="E12" s="416">
        <f t="shared" si="0"/>
        <v>29</v>
      </c>
      <c r="F12" s="415">
        <f>IF(ISNUMBER(Datos!N12),Datos!N12," - ")</f>
        <v>210</v>
      </c>
      <c r="G12" s="416">
        <f t="shared" si="1"/>
        <v>105</v>
      </c>
      <c r="H12" s="415">
        <f>IF(ISNUMBER(Datos!O12),Datos!O12," - ")</f>
        <v>149</v>
      </c>
      <c r="I12" s="416">
        <f t="shared" si="2"/>
        <v>74.5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60</v>
      </c>
      <c r="E14" s="997">
        <f t="shared" si="0"/>
        <v>20</v>
      </c>
      <c r="F14" s="996">
        <f>SUBTOTAL(9,F9:F13)</f>
        <v>210</v>
      </c>
      <c r="G14" s="997">
        <f t="shared" si="1"/>
        <v>70</v>
      </c>
      <c r="H14" s="996">
        <f>SUBTOTAL(9,H9:H13)</f>
        <v>151</v>
      </c>
      <c r="I14" s="997">
        <f>IF(ISNUMBER(H14/B14),H14/B14," - ")</f>
        <v>50.333333333333336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22</v>
      </c>
      <c r="E17" s="416">
        <f t="shared" si="3"/>
        <v>11</v>
      </c>
      <c r="F17" s="415">
        <f>IF(ISNUMBER(Datos!N17),Datos!N17," - ")</f>
        <v>178</v>
      </c>
      <c r="G17" s="416">
        <f t="shared" si="4"/>
        <v>89</v>
      </c>
      <c r="H17" s="415">
        <f>IF(ISNUMBER(Datos!O17),Datos!O17," - ")</f>
        <v>1</v>
      </c>
      <c r="I17" s="416">
        <f t="shared" si="5"/>
        <v>0.5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34</v>
      </c>
      <c r="G18" s="416">
        <f>IF(ISNUMBER(F18/B18),F18/B18," - ")</f>
        <v>34</v>
      </c>
      <c r="H18" s="415">
        <f>IF(ISNUMBER(Datos!O18),Datos!O18," - ")</f>
        <v>6</v>
      </c>
      <c r="I18" s="416">
        <f t="shared" si="5"/>
        <v>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23</v>
      </c>
      <c r="E20" s="997">
        <f t="shared" si="3"/>
        <v>7.666666666666667</v>
      </c>
      <c r="F20" s="996">
        <f>SUBTOTAL(9,F16:F19)</f>
        <v>212</v>
      </c>
      <c r="G20" s="997">
        <f t="shared" si="4"/>
        <v>70.666666666666671</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83</v>
      </c>
      <c r="E21" s="942">
        <f>IF(ISNUMBER(D21/B21),D21/B21," - ")</f>
        <v>41.5</v>
      </c>
      <c r="F21" s="941">
        <f>SUBTOTAL(9,F8:F20)</f>
        <v>422</v>
      </c>
      <c r="G21" s="942">
        <f>IF(ISNUMBER(F21/B21),F21/B21," - ")</f>
        <v>211</v>
      </c>
      <c r="H21" s="941">
        <f>SUBTOTAL(9,H8:H20)</f>
        <v>158</v>
      </c>
      <c r="I21" s="942">
        <f>IF(ISNUMBER(H21/B21),H21/B21," - ")</f>
        <v>79</v>
      </c>
    </row>
    <row r="24" spans="1:9">
      <c r="A24" s="403" t="str">
        <f>Criterios!A4</f>
        <v>Fecha Informe: 06 jun. 2023</v>
      </c>
    </row>
    <row r="29" spans="1:9">
      <c r="A29" s="426"/>
    </row>
  </sheetData>
  <sheetProtection algorithmName="SHA-512" hashValue="4C6ekBcPmn6MMufmOXWY/HQHANv+z3nUR7VDCH7+X3Zx1nHxTv/59uNzMgSgDl+USmlZkidtsxxdHfjtf//9dA==" saltValue="mcn7MeypdWW0sfmbZMdq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TORRELAGUNA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79</v>
      </c>
      <c r="C12" s="451">
        <f>IF(ISNUMBER(Datos!Q12),Datos!Q12," - ")</f>
        <v>34</v>
      </c>
      <c r="D12" s="420">
        <f>IF(ISNUMBER(Datos!R12),Datos!R12," - ")</f>
        <v>1176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79</v>
      </c>
      <c r="C14" s="1000">
        <f>SUBTOTAL(9,C9:C13)</f>
        <v>34</v>
      </c>
      <c r="D14" s="998">
        <f>SUBTOTAL(9,D9:D13)</f>
        <v>1179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1</v>
      </c>
      <c r="D17" s="420">
        <f>IF(ISNUMBER(Datos!R17),Datos!R17," - ")</f>
        <v>42</v>
      </c>
    </row>
    <row r="18" spans="1:4">
      <c r="A18" s="414" t="str">
        <f>Datos!A18</f>
        <v>Jdos. Violencia contra la mujer</v>
      </c>
      <c r="B18" s="450">
        <f>IF(ISNUMBER(Datos!P18),Datos!P18," - ")</f>
        <v>1</v>
      </c>
      <c r="C18" s="451">
        <f>IF(ISNUMBER(Datos!Q18),Datos!Q18," - ")</f>
        <v>6</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7</v>
      </c>
      <c r="D20" s="998">
        <f>SUBTOTAL(9,D16:D19)</f>
        <v>43</v>
      </c>
    </row>
    <row r="21" spans="1:4" ht="16.5" customHeight="1" thickTop="1" thickBot="1">
      <c r="A21" s="940" t="str">
        <f>Datos!A21</f>
        <v>TOTAL JURISDICCIONES</v>
      </c>
      <c r="B21" s="945">
        <f>SUBTOTAL(9,B8:B20)</f>
        <v>82</v>
      </c>
      <c r="C21" s="946">
        <f>SUBTOTAL(9,C8:C20)</f>
        <v>41</v>
      </c>
      <c r="D21" s="947">
        <f>SUBTOTAL(9,D8:D20)</f>
        <v>1222</v>
      </c>
    </row>
    <row r="22" spans="1:4" ht="7.5" customHeight="1"/>
    <row r="23" spans="1:4" ht="6" customHeight="1"/>
    <row r="24" spans="1:4">
      <c r="A24" s="403" t="str">
        <f>Criterios!A4</f>
        <v>Fecha Informe: 06 jun. 2023</v>
      </c>
    </row>
    <row r="29" spans="1:4">
      <c r="A29" s="426"/>
    </row>
  </sheetData>
  <sheetProtection algorithmName="SHA-512" hashValue="T91j96/ydgSMzzYP2IQXL6KGNL76+1Pe8+t/37Rw2WybA//ZcIjCBIUxaqvQeKVFepEJWJZejsOCQ5ghFWl0dw==" saltValue="Dnxk/2yr2NjEIVSDSP16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TORRELAGUNA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0.21428571428571427</v>
      </c>
      <c r="C10" s="473">
        <f>IF(ISNUMBER((Datos!J10-Datos!T10)/Datos!T10),(Datos!J10-Datos!T10)/Datos!T10," - ")</f>
        <v>2.5</v>
      </c>
      <c r="D10" s="473">
        <f>IF(ISNUMBER((Datos!K10-Datos!U10)/Datos!U10),(Datos!K10-Datos!U10)/Datos!U10," - ")</f>
        <v>1</v>
      </c>
      <c r="E10" s="473">
        <f>IF(ISNUMBER((Datos!L10-Datos!V10)/Datos!V10),(Datos!L10-Datos!V10)/Datos!V10," - ")</f>
        <v>0.42857142857142855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-0.4285714285714286</v>
      </c>
      <c r="I10" s="473">
        <f>IF(ISNUMBER(((NºAsuntos!I10/NºAsuntos!G10)-Datos!BE10)/Datos!BE10),((NºAsuntos!I10/NºAsuntos!G10)-Datos!BE10)/Datos!BE10," - ")</f>
        <v>-0.2857142857142857</v>
      </c>
      <c r="J10" s="478">
        <f>IF(ISNUMBER((('Resol  Asuntos'!D10/NºAsuntos!G10)-Datos!BF10)/Datos!BF10),(('Resol  Asuntos'!D10/NºAsuntos!G10)-Datos!BF10)/Datos!BF10," - ")</f>
        <v>0</v>
      </c>
      <c r="K10" s="479">
        <f>IF(ISNUMBER((((NºAsuntos!C10+NºAsuntos!E10)/NºAsuntos!G10)-Datos!BG10)/Datos!BG10),(((NºAsuntos!C10+NºAsuntos!E10)/NºAsuntos!G10)-Datos!BG10)/Datos!BG10," - ")</f>
        <v>-0.25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7.0321811680572111E-2</v>
      </c>
      <c r="C12" s="473">
        <f>IF(ISNUMBER(
   IF(J_V="SI",(Datos!J12-Datos!T12)/Datos!T12,(Datos!J12+Datos!Z12-(Datos!T12+Datos!AH12))/(Datos!T12+Datos!AH12))
     ),IF(J_V="SI",(Datos!J12-Datos!T12)/Datos!T12,(Datos!J12+Datos!Z12-(Datos!T12+Datos!AH12))/(Datos!T12+Datos!AH12))," - ")</f>
        <v>0.14545454545454545</v>
      </c>
      <c r="D12" s="473">
        <f>IF(ISNUMBER(
   IF(J_V="SI",(Datos!K12-Datos!U12)/Datos!U12,(Datos!K12+Datos!AA12-(Datos!U12+Datos!AI12))/(Datos!U12+Datos!AI12))
     ),IF(J_V="SI",(Datos!K12-Datos!U12)/Datos!U12,(Datos!K12+Datos!AA12-(Datos!U12+Datos!AI12))/(Datos!U12+Datos!AI12))," - ")</f>
        <v>0.12173913043478261</v>
      </c>
      <c r="E12" s="473">
        <f>IF(ISNUMBER(
   IF(J_V="SI",(Datos!L12-Datos!V12)/Datos!V12,(Datos!L12+Datos!AB12-(Datos!V12+Datos!AJ12))/(Datos!V12+Datos!AJ12))
     ),IF(J_V="SI",(Datos!L12-Datos!V12)/Datos!V12,(Datos!L12+Datos!AB12-(Datos!V12+Datos!AJ12))/(Datos!V12+Datos!AJ12))," - ")</f>
        <v>7.6833527357392323E-2</v>
      </c>
      <c r="F12" s="473">
        <f>IF(ISNUMBER((Datos!M12-Datos!W12)/Datos!W12),(Datos!M12-Datos!W12)/Datos!W12," - ")</f>
        <v>0.48717948717948717</v>
      </c>
      <c r="G12" s="474">
        <f>IF(ISNUMBER((Datos!N12-Datos!X12)/Datos!X12),(Datos!N12-Datos!X12)/Datos!X12," - ")</f>
        <v>4.4776119402985072E-2</v>
      </c>
      <c r="H12" s="472">
        <f>IF(ISNUMBER(((NºAsuntos!G12/NºAsuntos!E12)-Datos!BD12)/Datos!BD12),((NºAsuntos!G12/NºAsuntos!E12)-Datos!BD12)/Datos!BD12," - ")</f>
        <v>-2.0703933747411998E-2</v>
      </c>
      <c r="I12" s="473">
        <f>IF(ISNUMBER(((NºAsuntos!I12/NºAsuntos!G12)-Datos!BE12)/Datos!BE12),((NºAsuntos!I12/NºAsuntos!G12)-Datos!BE12)/Datos!BE12," - ")</f>
        <v>-4.0032126774417712E-2</v>
      </c>
      <c r="J12" s="478">
        <f>IF(ISNUMBER((('Resol  Asuntos'!D12/NºAsuntos!G12)-Datos!BF12)/Datos!BF12),(('Resol  Asuntos'!D12/NºAsuntos!G12)-Datos!BF12)/Datos!BF12," - ")</f>
        <v>-0.7427590728527903</v>
      </c>
      <c r="K12" s="479">
        <f>IF(ISNUMBER((((NºAsuntos!C12+NºAsuntos!E12)/NºAsuntos!G12)-Datos!BG12)/Datos!BG12),(((NºAsuntos!C12+NºAsuntos!E12)/NºAsuntos!G12)-Datos!BG12)/Datos!BG12," - ")</f>
        <v>-3.3337466698230553E-2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7.15130023640662E-2</v>
      </c>
      <c r="C14" s="1002">
        <f>IF(ISNUMBER(
   IF(J_V="SI",(Datos!J14-Datos!T14)/Datos!T14,(Datos!J14+Datos!Z14-(Datos!T14+Datos!AH14))/(Datos!T14+Datos!AH14))
     ),IF(J_V="SI",(Datos!J14-Datos!T14)/Datos!T14,(Datos!J14+Datos!Z14-(Datos!T14+Datos!AH14))/(Datos!T14+Datos!AH14))," - ")</f>
        <v>0.15762273901808785</v>
      </c>
      <c r="D14" s="1002">
        <f>IF(ISNUMBER(
   IF(J_V="SI",(Datos!K14-Datos!U14)/Datos!U14,(Datos!K14+Datos!AA14-(Datos!U14+Datos!AI14))/(Datos!U14+Datos!AI14))
     ),IF(J_V="SI",(Datos!K14-Datos!U14)/Datos!U14,(Datos!K14+Datos!AA14-(Datos!U14+Datos!AI14))/(Datos!U14+Datos!AI14))," - ")</f>
        <v>0.12680115273775217</v>
      </c>
      <c r="E14" s="1002">
        <f>IF(ISNUMBER(
   IF(J_V="SI",(Datos!L14-Datos!V14)/Datos!V14,(Datos!L14+Datos!AB14-(Datos!V14+Datos!AJ14))/(Datos!V14+Datos!AJ14))
     ),IF(J_V="SI",(Datos!L14-Datos!V14)/Datos!V14,(Datos!L14+Datos!AB14-(Datos!V14+Datos!AJ14))/(Datos!V14+Datos!AJ14))," - ")</f>
        <v>7.9676674364896075E-2</v>
      </c>
      <c r="F14" s="1003">
        <f>IF(ISNUMBER((Datos!M14-Datos!W14)/Datos!W14),(Datos!M14-Datos!W14)/Datos!W14," - ")</f>
        <v>0.5</v>
      </c>
      <c r="G14" s="1004">
        <f>IF(ISNUMBER((Datos!N14-Datos!X14)/Datos!X14),(Datos!N14-Datos!X14)/Datos!X14," - ")</f>
        <v>3.9603960396039604E-2</v>
      </c>
      <c r="H14" s="1004">
        <f>IF(ISNUMBER(((NºAsuntos!G14/NºAsuntos!E14)-Datos!BD14)/Datos!BD14),((NºAsuntos!G14/NºAsuntos!E14)-Datos!BD14)/Datos!BD14," - ")</f>
        <v>-2.6624897076986429E-2</v>
      </c>
      <c r="I14" s="1004">
        <f>IF(ISNUMBER(((NºAsuntos!I14/NºAsuntos!G14)-Datos!BE14)/Datos!BE14),((NºAsuntos!I14/NºAsuntos!G14)-Datos!BE14)/Datos!BE14," - ")</f>
        <v>-4.1821468018877338E-2</v>
      </c>
      <c r="J14" s="1004">
        <f>IF(ISNUMBER((('Resol  Asuntos'!D14/NºAsuntos!G14)-Datos!BF14)/Datos!BF14),(('Resol  Asuntos'!D14/NºAsuntos!G14)-Datos!BF14)/Datos!BF14," - ")</f>
        <v>-0.73639563444835532</v>
      </c>
      <c r="K14" s="1004">
        <f>IF(ISNUMBER((((NºAsuntos!C14+NºAsuntos!E14)/NºAsuntos!G14)-Datos!BG14)/Datos!BG14),(((NºAsuntos!C14+NºAsuntos!E14)/NºAsuntos!G14)-Datos!BG14)/Datos!BG14," - ")</f>
        <v>-3.4841165275947834E-2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0.39434523809523808</v>
      </c>
      <c r="C17" s="473">
        <f>IF(ISNUMBER(
   IF(D_I="SI",(Datos!J17-Datos!T17)/Datos!T17,(Datos!J17+Datos!AD17-(Datos!T17+Datos!AL17))/(Datos!T17+Datos!AL17))
     ),IF(D_I="SI",(Datos!J17-Datos!T17)/Datos!T17,(Datos!J17+Datos!AD17-(Datos!T17+Datos!AL17))/(Datos!T17+Datos!AL17))," - ")</f>
        <v>0.14015151515151514</v>
      </c>
      <c r="D17" s="473">
        <f>IF(ISNUMBER(
   IF(D_I="SI",(Datos!K17-Datos!U17)/Datos!U17,(Datos!K17+Datos!AE17-(Datos!U17+Datos!AM17))/(Datos!U17+Datos!AM17))
     ),IF(D_I="SI",(Datos!K17-Datos!U17)/Datos!U17,(Datos!K17+Datos!AE17-(Datos!U17+Datos!AM17))/(Datos!U17+Datos!AM17))," - ")</f>
        <v>0.23605150214592274</v>
      </c>
      <c r="E17" s="473">
        <f>IF(ISNUMBER(
   IF(D_I="SI",(Datos!L17-Datos!V17)/Datos!V17,(Datos!L17+Datos!AF17-(Datos!V17+Datos!AN17))/(Datos!V17+Datos!AN17))
     ),IF(D_I="SI",(Datos!L17-Datos!V17)/Datos!V17,(Datos!L17+Datos!AF17-(Datos!V17+Datos!AN17))/(Datos!V17+Datos!AN17))," - ")</f>
        <v>0.34414668547249649</v>
      </c>
      <c r="F17" s="473">
        <f>IF(ISNUMBER((Datos!M17-Datos!W17)/Datos!W17),(Datos!M17-Datos!W17)/Datos!W17," - ")</f>
        <v>-0.26666666666666666</v>
      </c>
      <c r="G17" s="474">
        <f>IF(ISNUMBER((Datos!N17-Datos!X17)/Datos!X17),(Datos!N17-Datos!X17)/Datos!X17," - ")</f>
        <v>0.53448275862068961</v>
      </c>
      <c r="H17" s="472">
        <f>IF(ISNUMBER(((NºAsuntos!G17/NºAsuntos!E17)-Datos!BD17)/Datos!BD17),((NºAsuntos!G17/NºAsuntos!E17)-Datos!BD17)/Datos!BD17," - ")</f>
        <v>8.4111616500078493E-2</v>
      </c>
      <c r="I17" s="473">
        <f>IF(ISNUMBER(((NºAsuntos!I17/NºAsuntos!G17)-Datos!BE17)/Datos!BE17),((NºAsuntos!I17/NºAsuntos!G17)-Datos!BE17)/Datos!BE17," - ")</f>
        <v>8.7452005955179407E-2</v>
      </c>
      <c r="J17" s="478">
        <f>IF(ISNUMBER((('Resol  Asuntos'!D17/NºAsuntos!G17)-Datos!BF17)/Datos!BF17),(('Resol  Asuntos'!D17/NºAsuntos!G17)-Datos!BF17)/Datos!BF17," - ")</f>
        <v>-0.40671296296296289</v>
      </c>
      <c r="K17" s="479">
        <f>IF(ISNUMBER((((NºAsuntos!C17+NºAsuntos!E17)/NºAsuntos!G17)-Datos!BG17)/Datos!BG17),(((NºAsuntos!C17+NºAsuntos!E17)/NºAsuntos!G17)-Datos!BG17)/Datos!BG17," - ")</f>
        <v>7.006024453941101E-2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0.34</v>
      </c>
      <c r="C18" s="473">
        <f>IF(ISNUMBER(
   IF(D_I="SI",(Datos!J18-Datos!T18)/Datos!T18,(Datos!J18+Datos!AD18-(Datos!T18+Datos!AL18))/(Datos!T18+Datos!AL18))
     ),IF(D_I="SI",(Datos!J18-Datos!T18)/Datos!T18,(Datos!J18+Datos!AD18-(Datos!T18+Datos!AL18))/(Datos!T18+Datos!AL18))," - ")</f>
        <v>0.36956521739130432</v>
      </c>
      <c r="D18" s="473">
        <f>IF(ISNUMBER(
   IF(D_I="SI",(Datos!K18-Datos!U18)/Datos!U18,(Datos!K18+Datos!AE18-(Datos!U18+Datos!AM18))/(Datos!U18+Datos!AM18))
     ),IF(D_I="SI",(Datos!K18-Datos!U18)/Datos!U18,(Datos!K18+Datos!AE18-(Datos!U18+Datos!AM18))/(Datos!U18+Datos!AM18))," - ")</f>
        <v>0.25</v>
      </c>
      <c r="E18" s="473">
        <f>IF(ISNUMBER(
   IF(D_I="SI",(Datos!L18-Datos!V18)/Datos!V18,(Datos!L18+Datos!AF18-(Datos!V18+Datos!AN18))/(Datos!V18+Datos!AN18))
     ),IF(D_I="SI",(Datos!L18-Datos!V18)/Datos!V18,(Datos!L18+Datos!AF18-(Datos!V18+Datos!AN18))/(Datos!V18+Datos!AN18))," - ")</f>
        <v>0.44230769230769229</v>
      </c>
      <c r="F18" s="473">
        <f>IF(ISNUMBER((Datos!M18-Datos!W18)/Datos!W18),(Datos!M18-Datos!W18)/Datos!W18," - ")</f>
        <v>-0.5</v>
      </c>
      <c r="G18" s="474">
        <f>IF(ISNUMBER((Datos!N18-Datos!X18)/Datos!X18),(Datos!N18-Datos!X18)/Datos!X18," - ")</f>
        <v>0</v>
      </c>
      <c r="H18" s="472">
        <f>IF(ISNUMBER(((NºAsuntos!G18/NºAsuntos!E18)-Datos!BD18)/Datos!BD18),((NºAsuntos!G18/NºAsuntos!E18)-Datos!BD18)/Datos!BD18," - ")</f>
        <v>-8.7301587301587324E-2</v>
      </c>
      <c r="I18" s="473">
        <f>IF(ISNUMBER(((NºAsuntos!I18/NºAsuntos!G18)-Datos!BE18)/Datos!BE18),((NºAsuntos!I18/NºAsuntos!G18)-Datos!BE18)/Datos!BE18," - ")</f>
        <v>0.15384615384615369</v>
      </c>
      <c r="J18" s="478">
        <f>IF(ISNUMBER((('Resol  Asuntos'!D18/NºAsuntos!G18)-Datos!BF18)/Datos!BF18),(('Resol  Asuntos'!D18/NºAsuntos!G18)-Datos!BF18)/Datos!BF18," - ")</f>
        <v>-0.6</v>
      </c>
      <c r="K18" s="479">
        <f>IF(ISNUMBER((((NºAsuntos!C18+NºAsuntos!E18)/NºAsuntos!G18)-Datos!BG18)/Datos!BG18),(((NºAsuntos!C18+NºAsuntos!E18)/NºAsuntos!G18)-Datos!BG18)/Datos!BG18," - ")</f>
        <v>8.3333333333333467E-2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0.39058171745152354</v>
      </c>
      <c r="C20" s="1002">
        <f>IF(ISNUMBER(
   IF(Criterios!B14="SI",(Datos!J20-Datos!T20)/Datos!T20,(Datos!J20+Datos!AD20-(Datos!T20+Datos!AL20))/(Datos!T20+Datos!AL20))
     ),IF(Criterios!B14="SI",(Datos!J20-Datos!T20)/Datos!T20,(Datos!J20+Datos!AD20-(Datos!T20+Datos!AL20))/(Datos!T20+Datos!AL20))," - ")</f>
        <v>0.17419354838709677</v>
      </c>
      <c r="D20" s="1002">
        <f>IF(ISNUMBER(
   IF(Criterios!B14="SI",(Datos!K20-Datos!U20)/Datos!U20,(Datos!K20+Datos!AE20-(Datos!U20+Datos!AM20))/(Datos!U20+Datos!AM20))
     ),IF(Criterios!B14="SI",(Datos!K20-Datos!U20)/Datos!U20,(Datos!K20+Datos!AE20-(Datos!U20+Datos!AM20))/(Datos!U20+Datos!AM20))," - ")</f>
        <v>0.23826714801444043</v>
      </c>
      <c r="E20" s="1002">
        <f>IF(ISNUMBER(
   IF(Criterios!B14="SI",(Datos!L20-Datos!V20)/Datos!V20,(Datos!L20+Datos!AF20-(Datos!V20+Datos!AN20))/(Datos!V20+Datos!AN20))
     ),IF(Criterios!B14="SI",(Datos!L20-Datos!V20)/Datos!V20,(Datos!L20+Datos!AF20-(Datos!V20+Datos!AN20))/(Datos!V20+Datos!AN20))," - ")</f>
        <v>0.35085413929040737</v>
      </c>
      <c r="F20" s="1003">
        <f>IF(ISNUMBER((Datos!M20-Datos!W20)/Datos!W20),(Datos!M20-Datos!W20)/Datos!W20," - ")</f>
        <v>-0.28125</v>
      </c>
      <c r="G20" s="1004">
        <f>IF(ISNUMBER((Datos!N20-Datos!X20)/Datos!X20),(Datos!N20-Datos!X20)/Datos!X20," - ")</f>
        <v>0.41333333333333333</v>
      </c>
      <c r="H20" s="1004">
        <f>IF(ISNUMBER(((NºAsuntos!G20/NºAsuntos!E20)-Datos!BD20)/Datos!BD20),((NºAsuntos!G20/NºAsuntos!E20)-Datos!BD20)/Datos!BD20," - ")</f>
        <v>5.4568175506803637E-2</v>
      </c>
      <c r="I20" s="1004">
        <f>IF(ISNUMBER(((NºAsuntos!I20/NºAsuntos!G20)-Datos!BE20)/Datos!BE20),((NºAsuntos!I20/NºAsuntos!G20)-Datos!BE20)/Datos!BE20," - ")</f>
        <v>9.0923022109162768E-2</v>
      </c>
      <c r="J20" s="1004">
        <f>IF(ISNUMBER((('Resol  Asuntos'!D20/NºAsuntos!G20)-Datos!BF20)/Datos!BF20),(('Resol  Asuntos'!D20/NºAsuntos!G20)-Datos!BF20)/Datos!BF20," - ")</f>
        <v>-0.41955174927113703</v>
      </c>
      <c r="K20" s="1004">
        <f>IF(ISNUMBER((((NºAsuntos!C20+NºAsuntos!E20)/NºAsuntos!G20)-Datos!BG20)/Datos!BG20),(((NºAsuntos!C20+NºAsuntos!E20)/NºAsuntos!G20)-Datos!BG20)/Datos!BG20," - ")</f>
        <v>7.0513255135941408E-2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0.16694283347141672</v>
      </c>
      <c r="C21" s="949">
        <f>IF(ISNUMBER(
   IF(J_V="SI",(Datos!J21-Datos!T21)/Datos!T21,(Datos!J21+Datos!Z21-(Datos!T21+Datos!AH21))/(Datos!T21+Datos!AH21))
     ),IF(J_V="SI",(Datos!J21-Datos!T21)/Datos!T21,(Datos!J21+Datos!Z21-(Datos!T21+Datos!AH21))/(Datos!T21+Datos!AH21))," - ")</f>
        <v>0.16499282639885221</v>
      </c>
      <c r="D21" s="949">
        <f>IF(ISNUMBER(
   IF(J_V="SI",(Datos!K21-Datos!U21)/Datos!U21,(Datos!K21+Datos!AA21-(Datos!U21+Datos!AI21))/(Datos!U21+Datos!AI21))
     ),IF(J_V="SI",(Datos!K21-Datos!U21)/Datos!U21,(Datos!K21+Datos!AA21-(Datos!U21+Datos!AI21))/(Datos!U21+Datos!AI21))," - ")</f>
        <v>0.17628205128205129</v>
      </c>
      <c r="E21" s="949">
        <f>IF(ISNUMBER(
   IF(J_V="SI",(Datos!L21-Datos!V21)/Datos!V21,(Datos!L21+Datos!AB21-(Datos!V21+Datos!AJ21))/(Datos!V21+Datos!AJ21))
     ),IF(J_V="SI",(Datos!L21-Datos!V21)/Datos!V21,(Datos!L21+Datos!AB21-(Datos!V21+Datos!AJ21))/(Datos!V21+Datos!AJ21))," - ")</f>
        <v>0.16245487364620939</v>
      </c>
      <c r="F21" s="950">
        <f>IF(ISNUMBER((Datos!M21-Datos!W21)/Datos!W21),(Datos!M21-Datos!W21)/Datos!W21," - ")</f>
        <v>0.15277777777777779</v>
      </c>
      <c r="G21" s="951">
        <f>IF(ISNUMBER((Datos!N21-Datos!X21)/Datos!X21),(Datos!N21-Datos!X21)/Datos!X21," - ")</f>
        <v>0.19886363636363635</v>
      </c>
      <c r="H21" s="952">
        <f>IF(ISNUMBER((Tasas!B21-Datos!BD21)/Datos!BD21),(Tasas!B21-Datos!BD21)/Datos!BD21," - ")</f>
        <v>9.6903814576227831E-3</v>
      </c>
      <c r="I21" s="953">
        <f>IF(ISNUMBER((Tasas!C21-Datos!BE21)/Datos!BE21),(Tasas!C21-Datos!BE21)/Datos!BE21," - ")</f>
        <v>-1.1754984802132622E-2</v>
      </c>
      <c r="J21" s="954">
        <f>IF(ISNUMBER((Tasas!D21-Datos!BF21)/Datos!BF21),(Tasas!D21-Datos!BF21)/Datos!BF21," - ")</f>
        <v>-0.69845594913714804</v>
      </c>
      <c r="K21" s="954">
        <f>IF(ISNUMBER((Tasas!E21-Datos!BG21)/Datos!BG21),(Tasas!E21-Datos!BG21)/Datos!BG21," - ")</f>
        <v>-8.3110208393001265E-3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gR1LiZy/fNwX9TbM8qJTzvx6RQ6qDj/KWjGrNITZv25dEuUAtN1CFD4coWh8q14/DfkZqCMSHuqvNzyX/JB7g==" saltValue="hxpbimK1kWKPyvODQJNQn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TORRELAGUNA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0.5714285714285714</v>
      </c>
      <c r="C10" s="460">
        <f>IF(ISNUMBER(NºAsuntos!I10/NºAsuntos!G10),NºAsuntos!I10/NºAsuntos!G10," - ")</f>
        <v>5</v>
      </c>
      <c r="D10" s="461">
        <f>IF(ISNUMBER('Resol  Asuntos'!D10/NºAsuntos!G10),'Resol  Asuntos'!D10/NºAsuntos!G10," - ")</f>
        <v>0.5</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0.87755102040816324</v>
      </c>
      <c r="C12" s="460">
        <f>IF(ISNUMBER(NºAsuntos!I12/NºAsuntos!G12),NºAsuntos!I12/NºAsuntos!G12," - ")</f>
        <v>4.7803617571059434</v>
      </c>
      <c r="D12" s="461">
        <f>IF(ISNUMBER('Resol  Asuntos'!D12/NºAsuntos!G12),'Resol  Asuntos'!D12/NºAsuntos!G12," - ")</f>
        <v>0.14987080103359174</v>
      </c>
      <c r="E12" s="462">
        <f>IF(ISNUMBER((NºAsuntos!C12+NºAsuntos!E12)/NºAsuntos!G12),(NºAsuntos!C12+NºAsuntos!E12)/NºAsuntos!G12," - ")</f>
        <v>5.7803617571059434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0.8727678571428571</v>
      </c>
      <c r="C14" s="1006">
        <f>IF(ISNUMBER(NºAsuntos!I14/NºAsuntos!G14),NºAsuntos!I14/NºAsuntos!G14," - ")</f>
        <v>4.7826086956521738</v>
      </c>
      <c r="D14" s="1007">
        <f>IF(ISNUMBER('Resol  Asuntos'!D14/NºAsuntos!G14),'Resol  Asuntos'!D14/NºAsuntos!G14," - ")</f>
        <v>0.15345268542199489</v>
      </c>
      <c r="E14" s="1008">
        <f>IF(ISNUMBER((NºAsuntos!C14+NºAsuntos!E14)/NºAsuntos!G14),(NºAsuntos!C14+NºAsuntos!E14)/NºAsuntos!G14," - ")</f>
        <v>5.7826086956521738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0.95681063122923593</v>
      </c>
      <c r="C17" s="460">
        <f>IF(ISNUMBER(NºAsuntos!I17/NºAsuntos!G17),NºAsuntos!I17/NºAsuntos!G17," - ")</f>
        <v>3.3090277777777777</v>
      </c>
      <c r="D17" s="461">
        <f>IF(ISNUMBER('Resol  Asuntos'!D17/NºAsuntos!G17),'Resol  Asuntos'!D17/NºAsuntos!G17," - ")</f>
        <v>7.6388888888888895E-2</v>
      </c>
      <c r="E17" s="462">
        <f>IF(ISNUMBER((NºAsuntos!C17+NºAsuntos!E17)/NºAsuntos!G17),(NºAsuntos!C17+NºAsuntos!E17)/NºAsuntos!G17," - ")</f>
        <v>4.2986111111111107</v>
      </c>
      <c r="G17" s="480"/>
    </row>
    <row r="18" spans="1:7">
      <c r="A18" s="414" t="str">
        <f>Datos!A18</f>
        <v>Jdos. Violencia contra la mujer</v>
      </c>
      <c r="B18" s="459">
        <f>IF(ISNUMBER(NºAsuntos!G18/NºAsuntos!E18),NºAsuntos!G18/NºAsuntos!E18," - ")</f>
        <v>0.87301587301587302</v>
      </c>
      <c r="C18" s="460">
        <f>IF(ISNUMBER(NºAsuntos!I18/NºAsuntos!G18),NºAsuntos!I18/NºAsuntos!G18," - ")</f>
        <v>1.3636363636363635</v>
      </c>
      <c r="D18" s="461">
        <f>IF(ISNUMBER('Resol  Asuntos'!D18/NºAsuntos!G18),'Resol  Asuntos'!D18/NºAsuntos!G18," - ")</f>
        <v>1.8181818181818181E-2</v>
      </c>
      <c r="E18" s="462">
        <f>IF(ISNUMBER((NºAsuntos!C18+NºAsuntos!E18)/NºAsuntos!G18),(NºAsuntos!C18+NºAsuntos!E18)/NºAsuntos!G18," - ")</f>
        <v>2.3636363636363638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0.94230769230769229</v>
      </c>
      <c r="C20" s="1006">
        <f>IF(ISNUMBER(NºAsuntos!I20/NºAsuntos!G20),NºAsuntos!I20/NºAsuntos!G20," - ")</f>
        <v>2.9970845481049562</v>
      </c>
      <c r="D20" s="1009">
        <f>IF(ISNUMBER('Resol  Asuntos'!D20/NºAsuntos!G20),'Resol  Asuntos'!D20/NºAsuntos!G20," - ")</f>
        <v>6.7055393586005832E-2</v>
      </c>
      <c r="E20" s="1008">
        <f>IF(ISNUMBER((NºAsuntos!C20+NºAsuntos!E20)/NºAsuntos!G20),(NºAsuntos!C20+NºAsuntos!E20)/NºAsuntos!G20," - ")</f>
        <v>3.9883381924198251</v>
      </c>
      <c r="G20" s="480"/>
    </row>
    <row r="21" spans="1:7" ht="15.75" customHeight="1" thickTop="1" thickBot="1">
      <c r="A21" s="940" t="str">
        <f>Datos!A21</f>
        <v>TOTAL JURISDICCIONES</v>
      </c>
      <c r="B21" s="955">
        <f>IF(ISNUMBER(NºAsuntos!G21/NºAsuntos!E21),NºAsuntos!G21/NºAsuntos!E21," - ")</f>
        <v>0.90394088669950734</v>
      </c>
      <c r="C21" s="956">
        <f>IF(ISNUMBER(NºAsuntos!I21/NºAsuntos!G21),NºAsuntos!I21/NºAsuntos!G21," - ")</f>
        <v>3.9482288828337873</v>
      </c>
      <c r="D21" s="957">
        <f>IF(ISNUMBER('Resol  Asuntos'!D21/NºAsuntos!G21),'Resol  Asuntos'!D21/NºAsuntos!G21," - ")</f>
        <v>0.11307901907356949</v>
      </c>
      <c r="E21" s="958">
        <f>IF(ISNUMBER((NºAsuntos!C21+NºAsuntos!E21)/NºAsuntos!G21),(NºAsuntos!C21+NºAsuntos!E21)/NºAsuntos!G21," - ")</f>
        <v>4.9441416893732972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mVl/8q2V+51EruJ8eLcOmcMI8Uct9Zfgc0WjwIj7t7HyTQ/YIcPNUMPyYArjmZzzsJZeAfrsOHd9Rr7Bujp1A==" saltValue="k6A5X0r04PCXFEZ0XIxG1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TORRELAGUNA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17</v>
      </c>
      <c r="G10" s="343">
        <f>IF(ISNUMBER(Datos!I10),Datos!I10," - ")</f>
        <v>17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20</v>
      </c>
      <c r="AB10" s="344">
        <f>IF(ISNUMBER(Datos!R10),Datos!R10," - ")</f>
        <v>3</v>
      </c>
      <c r="AC10" s="344">
        <f t="shared" ref="AC10:AC13" si="1">IF(ISNUMBER(AA10+AB10),AA10+AB10," - ")</f>
        <v>23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0.5714285714285714</v>
      </c>
      <c r="AM10" s="265">
        <f>IF(ISNUMBER(((NºAsuntos!I10/NºAsuntos!G10)*11)/factor_trimestre),((NºAsuntos!I10/NºAsuntos!G10)*11)/factor_trimestre," - ")</f>
        <v>15</v>
      </c>
      <c r="AN10" s="249">
        <f>IF(ISNUMBER('Resol  Asuntos'!D10/NºAsuntos!G10),'Resol  Asuntos'!D10/NºAsuntos!G10," - ")</f>
        <v>0.5</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34</v>
      </c>
      <c r="Y12" s="344">
        <f t="shared" si="0"/>
        <v>34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1176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58</v>
      </c>
      <c r="AJ12" s="234" t="str">
        <f>IF(ISNUMBER(Datos!BW12),Datos!BW12," - ")</f>
        <v xml:space="preserve"> - </v>
      </c>
      <c r="AK12" s="233" t="str">
        <f>IF(ISNUMBER(Datos!BX12),Datos!BX12," - ")</f>
        <v xml:space="preserve"> - </v>
      </c>
      <c r="AL12" s="248">
        <f>IF(ISNUMBER(NºAsuntos!G12/NºAsuntos!E12),NºAsuntos!G12/NºAsuntos!E12," - ")</f>
        <v>0.87755102040816324</v>
      </c>
      <c r="AM12" s="265">
        <f>IF(ISNUMBER(((NºAsuntos!I12/NºAsuntos!G12)*11)/factor_trimestre),((NºAsuntos!I12/NºAsuntos!G12)*11)/factor_trimestre," - ")</f>
        <v>14.34108527131783</v>
      </c>
      <c r="AN12" s="249">
        <f>IF(ISNUMBER('Resol  Asuntos'!D12/NºAsuntos!G12),'Resol  Asuntos'!D12/NºAsuntos!G12," - ")</f>
        <v>0.14987080103359174</v>
      </c>
      <c r="AO12" s="250">
        <f>IF(ISNUMBER((NºAsuntos!C12+NºAsuntos!E12)/NºAsuntos!G12),(NºAsuntos!C12+NºAsuntos!E12)/NºAsuntos!G12," - ")</f>
        <v>5.7803617571059434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17</v>
      </c>
      <c r="G14" s="1013">
        <f t="shared" si="5"/>
        <v>17</v>
      </c>
      <c r="H14" s="1012">
        <f t="shared" si="5"/>
        <v>0</v>
      </c>
      <c r="I14" s="1014">
        <f t="shared" si="5"/>
        <v>0</v>
      </c>
      <c r="J14" s="1014">
        <f t="shared" si="5"/>
        <v>0</v>
      </c>
      <c r="K14" s="1014">
        <f t="shared" si="5"/>
        <v>0</v>
      </c>
      <c r="L14" s="1014">
        <f t="shared" si="5"/>
        <v>79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34</v>
      </c>
      <c r="Y14" s="1015">
        <f t="shared" si="6"/>
        <v>38</v>
      </c>
      <c r="Z14" s="1015">
        <f t="shared" si="6"/>
        <v>0</v>
      </c>
      <c r="AA14" s="1015">
        <f t="shared" si="6"/>
        <v>20</v>
      </c>
      <c r="AB14" s="1015">
        <f t="shared" si="6"/>
        <v>1179</v>
      </c>
      <c r="AC14" s="1015">
        <f t="shared" si="6"/>
        <v>23</v>
      </c>
      <c r="AD14" s="1015">
        <f t="shared" si="6"/>
        <v>0</v>
      </c>
      <c r="AE14" s="1019">
        <f t="shared" si="6"/>
        <v>0</v>
      </c>
      <c r="AF14" s="1012">
        <f t="shared" si="6"/>
        <v>0</v>
      </c>
      <c r="AG14" s="1020">
        <f t="shared" si="6"/>
        <v>0</v>
      </c>
      <c r="AH14" s="1017">
        <f t="shared" si="6"/>
        <v>0</v>
      </c>
      <c r="AI14" s="1012">
        <f t="shared" si="6"/>
        <v>60</v>
      </c>
      <c r="AJ14" s="1014">
        <f t="shared" si="6"/>
        <v>0</v>
      </c>
      <c r="AK14" s="1017">
        <f>SUBTOTAL(9,AK9:AK13)</f>
        <v>0</v>
      </c>
      <c r="AL14" s="1021">
        <f>IF(ISNUMBER(NºAsuntos!G14/NºAsuntos!E14),NºAsuntos!G14/NºAsuntos!E14," - ")</f>
        <v>0.8727678571428571</v>
      </c>
      <c r="AM14" s="1021">
        <f>IF(ISNUMBER(((NºAsuntos!I14/NºAsuntos!G14)*11)/factor_trimestre),((NºAsuntos!I14/NºAsuntos!G14)*11)/factor_trimestre," - ")</f>
        <v>14.347826086956523</v>
      </c>
      <c r="AN14" s="1022">
        <f>IF(ISNUMBER('Resol  Asuntos'!D14/NºAsuntos!G14),'Resol  Asuntos'!D14/NºAsuntos!G14," - ")</f>
        <v>0.15345268542199489</v>
      </c>
      <c r="AO14" s="1023">
        <f>IF(ISNUMBER((NºAsuntos!C14+NºAsuntos!E14)/NºAsuntos!G14),(NºAsuntos!C14+NºAsuntos!E14)/NºAsuntos!G14," - ")</f>
        <v>5.7826086956521738</v>
      </c>
      <c r="AP14" s="1024" t="str">
        <f t="shared" si="2"/>
        <v xml:space="preserve"> - </v>
      </c>
      <c r="AQ14" s="1024">
        <f>IF(ISNUMBER((H14-W14+K14)/(F14)),(H14-W14+K14)/(F14)," - ")</f>
        <v>-0.23529411764705882</v>
      </c>
      <c r="AR14" s="1025">
        <f>IF(ISNUMBER((Datos!P14-Datos!Q14)/(Datos!R14-Datos!P14+Datos!Q14)),(Datos!P14-Datos!Q14)/(Datos!R14-Datos!P14+Datos!Q14)," - ")</f>
        <v>3.968253968253968E-2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940</v>
      </c>
      <c r="G17" s="343">
        <f>IF(ISNUMBER(IF(D_I="SI",Datos!I17,Datos!I17+Datos!AC17)),IF(D_I="SI",Datos!I17,Datos!I17+Datos!AC17)," - ")</f>
        <v>937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288</v>
      </c>
      <c r="X17" s="231">
        <f>IF(ISNUMBER(Datos!Q17),Datos!Q17," - ")</f>
        <v>1</v>
      </c>
      <c r="Y17" s="344">
        <f t="shared" ref="Y17:Y19" si="9">SUM(W17:X17)</f>
        <v>289</v>
      </c>
      <c r="Z17" s="345" t="str">
        <f>IF(ISNUMBER(Datos!CC17),Datos!CC17," - ")</f>
        <v xml:space="preserve"> - </v>
      </c>
      <c r="AA17" s="342">
        <f>IF(ISNUMBER(IF(D_I="SI",Datos!L17,Datos!L17+Datos!AF17)),IF(D_I="SI",Datos!L17,Datos!L17+Datos!AF17)," - ")</f>
        <v>953</v>
      </c>
      <c r="AB17" s="344">
        <f>IF(ISNUMBER(Datos!R17),Datos!R17," - ")</f>
        <v>42</v>
      </c>
      <c r="AC17" s="344">
        <f t="shared" si="8"/>
        <v>995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22</v>
      </c>
      <c r="AJ17" s="236" t="str">
        <f>IF(ISNUMBER(Datos!BW17),Datos!BW17," - ")</f>
        <v xml:space="preserve"> - </v>
      </c>
      <c r="AK17" s="237" t="str">
        <f>IF(ISNUMBER(Datos!BX17),Datos!BX17," - ")</f>
        <v xml:space="preserve"> - </v>
      </c>
      <c r="AL17" s="248">
        <f>IF(ISNUMBER(NºAsuntos!G17/NºAsuntos!E17),NºAsuntos!G17/NºAsuntos!E17," - ")</f>
        <v>0.95681063122923593</v>
      </c>
      <c r="AM17" s="265">
        <f>IF(ISNUMBER(((NºAsuntos!I17/NºAsuntos!G17)*11)/factor_trimestre),((NºAsuntos!I17/NºAsuntos!G17)*11)/factor_trimestre," - ")</f>
        <v>9.9270833333333339</v>
      </c>
      <c r="AN17" s="249">
        <f>IF(ISNUMBER('Resol  Asuntos'!D17/NºAsuntos!G17),'Resol  Asuntos'!D17/NºAsuntos!G17," - ")</f>
        <v>7.6388888888888895E-2</v>
      </c>
      <c r="AO17" s="250">
        <f>IF(ISNUMBER((NºAsuntos!C17+NºAsuntos!E17)/NºAsuntos!G17),(NºAsuntos!C17+NºAsuntos!E17)/NºAsuntos!G17," - ")</f>
        <v>4.2986111111111107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55</v>
      </c>
      <c r="X18" s="231">
        <f>IF(ISNUMBER(Datos!Q18),Datos!Q18," - ")</f>
        <v>6</v>
      </c>
      <c r="Y18" s="344">
        <f t="shared" si="9"/>
        <v>61</v>
      </c>
      <c r="Z18" s="345" t="str">
        <f>IF(ISNUMBER(Datos!CC18),Datos!CC18," - ")</f>
        <v xml:space="preserve"> - </v>
      </c>
      <c r="AA18" s="342">
        <f>IF(ISNUMBER(Datos!L18),Datos!L18,"-")</f>
        <v>75</v>
      </c>
      <c r="AB18" s="344">
        <f>IF(ISNUMBER(Datos!R18),Datos!R18," - ")</f>
        <v>1</v>
      </c>
      <c r="AC18" s="344">
        <f t="shared" si="8"/>
        <v>76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0.87301587301587302</v>
      </c>
      <c r="AM18" s="265">
        <f>IF(ISNUMBER(((NºAsuntos!I18/NºAsuntos!G18)*11)/factor_trimestre),((NºAsuntos!I18/NºAsuntos!G18)*11)/factor_trimestre," - ")</f>
        <v>4.0909090909090908</v>
      </c>
      <c r="AN18" s="249">
        <f>IF(ISNUMBER('Resol  Asuntos'!D18/NºAsuntos!G18),'Resol  Asuntos'!D18/NºAsuntos!G18," - ")</f>
        <v>1.8181818181818181E-2</v>
      </c>
      <c r="AO18" s="250">
        <f>IF(ISNUMBER((NºAsuntos!C18+NºAsuntos!E18)/NºAsuntos!G18),(NºAsuntos!C18+NºAsuntos!E18)/NºAsuntos!G18," - ")</f>
        <v>2.3636363636363638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940</v>
      </c>
      <c r="G20" s="1013">
        <f>SUBTOTAL(9,G16:G19)</f>
        <v>1004</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343</v>
      </c>
      <c r="X20" s="1014">
        <f t="shared" si="13"/>
        <v>7</v>
      </c>
      <c r="Y20" s="1015">
        <f t="shared" si="13"/>
        <v>350</v>
      </c>
      <c r="Z20" s="1015">
        <f t="shared" si="13"/>
        <v>0</v>
      </c>
      <c r="AA20" s="1015">
        <f t="shared" si="13"/>
        <v>1028</v>
      </c>
      <c r="AB20" s="1015">
        <f t="shared" si="13"/>
        <v>43</v>
      </c>
      <c r="AC20" s="1015">
        <f t="shared" si="13"/>
        <v>1071</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0.94230769230769229</v>
      </c>
      <c r="AM20" s="1021">
        <f>IF(ISNUMBER(((NºAsuntos!I20/NºAsuntos!G20)*11)/factor_trimestre),((NºAsuntos!I20/NºAsuntos!G20)*11)/factor_trimestre," - ")</f>
        <v>8.9912536443148685</v>
      </c>
      <c r="AN20" s="1022">
        <f>IF(ISNUMBER('Resol  Asuntos'!D20/NºAsuntos!G20),'Resol  Asuntos'!D20/NºAsuntos!G20," - ")</f>
        <v>6.7055393586005832E-2</v>
      </c>
      <c r="AO20" s="1023">
        <f>IF(ISNUMBER((NºAsuntos!C20+NºAsuntos!E20)/NºAsuntos!G20),(NºAsuntos!C20+NºAsuntos!E20)/NºAsuntos!G20," - ")</f>
        <v>3.9883381924198251</v>
      </c>
      <c r="AP20" s="1024" t="str">
        <f t="shared" si="2"/>
        <v xml:space="preserve"> - </v>
      </c>
      <c r="AQ20" s="1024">
        <f>IF(ISNUMBER((H20-W20+K20)/(F20)),(H20-W20+K20)/(F20)," - ")</f>
        <v>-0.3648936170212766</v>
      </c>
      <c r="AR20" s="1025">
        <f>IF(ISNUMBER((Datos!P20-Datos!Q20)/(Datos!R20-Datos!P20+Datos!Q20)),(Datos!P20-Datos!Q20)/(Datos!R20-Datos!P20+Datos!Q20)," - ")</f>
        <v>-8.5106382978723402E-2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957</v>
      </c>
      <c r="G21" s="968">
        <f t="shared" si="15"/>
        <v>1021</v>
      </c>
      <c r="H21" s="967">
        <f t="shared" si="15"/>
        <v>0</v>
      </c>
      <c r="I21" s="969">
        <f t="shared" si="15"/>
        <v>0</v>
      </c>
      <c r="J21" s="969">
        <f t="shared" si="15"/>
        <v>0</v>
      </c>
      <c r="K21" s="1028">
        <f t="shared" si="15"/>
        <v>0</v>
      </c>
      <c r="L21" s="969">
        <f t="shared" si="15"/>
        <v>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347</v>
      </c>
      <c r="X21" s="968">
        <f t="shared" si="16"/>
        <v>41</v>
      </c>
      <c r="Y21" s="975">
        <f t="shared" si="16"/>
        <v>388</v>
      </c>
      <c r="Z21" s="975">
        <f t="shared" si="16"/>
        <v>0</v>
      </c>
      <c r="AA21" s="975">
        <f t="shared" si="16"/>
        <v>1048</v>
      </c>
      <c r="AB21" s="975">
        <f t="shared" si="16"/>
        <v>1222</v>
      </c>
      <c r="AC21" s="975">
        <f t="shared" si="16"/>
        <v>1094</v>
      </c>
      <c r="AD21" s="975">
        <f t="shared" si="16"/>
        <v>0</v>
      </c>
      <c r="AE21" s="977">
        <f t="shared" si="16"/>
        <v>0</v>
      </c>
      <c r="AF21" s="978">
        <f t="shared" si="16"/>
        <v>0</v>
      </c>
      <c r="AG21" s="979">
        <f t="shared" si="16"/>
        <v>0</v>
      </c>
      <c r="AH21" s="977">
        <f t="shared" si="16"/>
        <v>0</v>
      </c>
      <c r="AI21" s="967">
        <f t="shared" si="16"/>
        <v>83</v>
      </c>
      <c r="AJ21" s="967">
        <f t="shared" si="16"/>
        <v>0</v>
      </c>
      <c r="AK21" s="977">
        <f t="shared" si="16"/>
        <v>0</v>
      </c>
      <c r="AL21" s="1031">
        <f>IF(ISNUMBER(NºAsuntos!G21/NºAsuntos!E21),NºAsuntos!G21/NºAsuntos!E21," - ")</f>
        <v>0.90394088669950734</v>
      </c>
      <c r="AM21" s="1032">
        <f>IF(ISNUMBER(((NºAsuntos!I21/NºAsuntos!G21)*11)/factor_trimestre),((NºAsuntos!I21/NºAsuntos!G21)*11)/factor_trimestre," - ")</f>
        <v>11.844686648501362</v>
      </c>
      <c r="AN21" s="1032">
        <f>IF(ISNUMBER('Resol  Asuntos'!D21/NºAsuntos!G21),'Resol  Asuntos'!D21/NºAsuntos!G21," - ")</f>
        <v>0.11307901907356949</v>
      </c>
      <c r="AO21" s="1033">
        <f>IF(ISNUMBER((NºAsuntos!C21+NºAsuntos!E21)/NºAsuntos!G21),(NºAsuntos!C21+NºAsuntos!E21)/NºAsuntos!G21," - ")</f>
        <v>4.9441416893732972</v>
      </c>
      <c r="AP21" s="1034" t="str">
        <f t="shared" si="2"/>
        <v xml:space="preserve"> - </v>
      </c>
      <c r="AQ21" s="1035">
        <f>IF(OR(ISNUMBER(FIND("01",Criterios!A8,1)),ISNUMBER(FIND("02",Criterios!A8,1)),ISNUMBER(FIND("03",Criterios!A8,1)),ISNUMBER(FIND("04",Criterios!A8,1))),(I21-W21+K21)/(F21-K21),(H21-W21+K21)/(F21-K21))</f>
        <v>-0.36259143155694878</v>
      </c>
      <c r="AR21" s="1036">
        <f>IF(ISNUMBER((Datos!P21-Datos!Q21)/(Datos!R21-Datos!P21+Datos!Q21)),(Datos!P21-Datos!Q21)/(Datos!R21-Datos!P21+Datos!Q21)," - ")</f>
        <v>3.4716342082980522E-2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532.89429846202461</v>
      </c>
      <c r="G23" s="258">
        <f>IF(ISNUMBER(STDEV(G8:G20)),STDEV(G8:G20),"-")</f>
        <v>514.07664798160204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163.80079364887095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26.035872688785883</v>
      </c>
      <c r="AJ23" s="257">
        <f t="shared" si="20"/>
        <v>0</v>
      </c>
      <c r="AK23" s="259">
        <f t="shared" si="20"/>
        <v>0</v>
      </c>
      <c r="AL23" s="254">
        <f t="shared" si="20"/>
        <v>0.14094835027811561</v>
      </c>
      <c r="AM23" s="255">
        <f t="shared" si="20"/>
        <v>4.2710959316110415</v>
      </c>
      <c r="AN23" s="255">
        <f t="shared" si="20"/>
        <v>0.17405935733997321</v>
      </c>
      <c r="AO23" s="256">
        <f t="shared" si="20"/>
        <v>1.4251570507048175</v>
      </c>
      <c r="AP23" s="296" t="str">
        <f t="shared" si="20"/>
        <v>-</v>
      </c>
      <c r="AQ23" s="297">
        <f t="shared" si="20"/>
        <v>9.1640684845891121E-2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81Hw0Tbs+jiEKjmMYmpHTEIbW9e/1JKSoOy0Rkz/MV+ydBlGurtfrbtLmzhSVJEZAKkTsb7+NhWDbR20vddVxw==" saltValue="SlF4DduVsZNvIgMq9Gck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TORRELAGUNA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0.21428571428571427</v>
      </c>
      <c r="E10" s="358">
        <f>IF(ISNUMBER((Datos!J10-Datos!T10)/Datos!T10),(Datos!J10-Datos!T10)/Datos!T10," - ")</f>
        <v>2.5</v>
      </c>
      <c r="F10" s="358">
        <f>IF(ISNUMBER((Datos!K10-Datos!U10)/Datos!U10),(Datos!K10-Datos!U10)/Datos!U10," - ")</f>
        <v>1</v>
      </c>
      <c r="G10" s="359">
        <f>IF(ISNUMBER((Datos!L10-Datos!V10)/Datos!V10),(Datos!L10-Datos!V10)/Datos!V10," - ")</f>
        <v>0.42857142857142855</v>
      </c>
      <c r="H10" s="235">
        <f>IF(ISNUMBER((Datos!M10-Datos!W10)/Datos!W10),(Datos!M10-Datos!W10)/Datos!W10," - ")</f>
        <v>1</v>
      </c>
      <c r="I10" s="360">
        <f>IF(ISNUMBER((Tasas!C10-Datos!BE10)/Datos!BE10),(Tasas!C10-Datos!BE10)/Datos!BE10," - ")</f>
        <v>-0.2857142857142857</v>
      </c>
      <c r="J10" s="359">
        <f>IF(ISNUMBER((Tasas!D10-Datos!BF10)/Datos!BF10),(Tasas!D10-Datos!BF10)/Datos!BF10," - ")</f>
        <v>0</v>
      </c>
      <c r="K10" s="361">
        <f>IF(ISNUMBER((Tasas!E10-Datos!BG10)/Datos!BG10),(Tasas!E10-Datos!BG10)/Datos!BG10," - ")</f>
        <v>-0.25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0.48717948717948717</v>
      </c>
      <c r="I12" s="360">
        <f>IF(ISNUMBER((Tasas!C12-Datos!BE12)/Datos!BE12),(Tasas!C12-Datos!BE12)/Datos!BE12," - ")</f>
        <v>-4.0032126774417712E-2</v>
      </c>
      <c r="J12" s="359">
        <f>IF(ISNUMBER((Tasas!D12-Datos!BF12)/Datos!BF12),(Tasas!D12-Datos!BF12)/Datos!BF12," - ")</f>
        <v>-0.7427590728527903</v>
      </c>
      <c r="K12" s="361">
        <f>IF(ISNUMBER((Tasas!E12-Datos!BG12)/Datos!BG12),(Tasas!E12-Datos!BG12)/Datos!BG12," - ")</f>
        <v>-3.3337466698230553E-2</v>
      </c>
      <c r="M12" t="e">
        <f>IF(Monitorios="SI",Datos!CE12,0)</f>
        <v>#REF!</v>
      </c>
      <c r="N12" t="e">
        <f>IF(Monitorios="SI",Datos!CF12,0)</f>
        <v>#REF!</v>
      </c>
      <c r="O12" t="e">
        <f>IF(Monitorios="SI",Datos!CG12,0)</f>
        <v>#REF!</v>
      </c>
      <c r="P12" t="e">
        <f>IF(Monitorios="SI",Datos!CH12,0)</f>
        <v>#REF!</v>
      </c>
      <c r="Q12">
        <f>IF(J_V="SI",0,Datos!AG12)</f>
        <v>48</v>
      </c>
      <c r="R12">
        <f>IF(J_V="SI",0,Datos!AH12)</f>
        <v>77</v>
      </c>
      <c r="S12">
        <f>IF(J_V="SI",0,Datos!AI12)</f>
        <v>68</v>
      </c>
      <c r="T12">
        <f>IF(J_V="SI",0,Datos!AJ12)</f>
        <v>57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v>
      </c>
      <c r="I14" s="367">
        <f>IF(ISNUMBER((Tasas!C14-Datos!BE14)/Datos!BE14),(Tasas!C14-Datos!BE14)/Datos!BE14," - ")</f>
        <v>-4.1821468018877338E-2</v>
      </c>
      <c r="J14" s="365">
        <f>IF(ISNUMBER((Tasas!D14-Datos!BF14)/Datos!BF14),(Tasas!D14-Datos!BF14)/Datos!BF14," - ")</f>
        <v>-0.73639563444835532</v>
      </c>
      <c r="K14" s="368">
        <f>IF(ISNUMBER((Tasas!E14-Datos!BG14)/Datos!BG14),(Tasas!E14-Datos!BG14)/Datos!BG14," - ")</f>
        <v>-3.4841165275947834E-2</v>
      </c>
      <c r="M14" t="e">
        <f>IF(Monitorios="SI",Datos!CE14,0)</f>
        <v>#REF!</v>
      </c>
      <c r="N14" t="e">
        <f>IF(Monitorios="SI",Datos!CF14,0)</f>
        <v>#REF!</v>
      </c>
      <c r="O14" t="e">
        <f>IF(Monitorios="SI",Datos!CG14,0)</f>
        <v>#REF!</v>
      </c>
      <c r="P14" t="e">
        <f>IF(Monitorios="SI",Datos!CH14,0)</f>
        <v>#REF!</v>
      </c>
      <c r="Q14">
        <f>IF(J_V="SI",0,Datos!AG14)</f>
        <v>48</v>
      </c>
      <c r="R14">
        <f>IF(J_V="SI",0,Datos!AH14)</f>
        <v>77</v>
      </c>
      <c r="S14">
        <f>IF(J_V="SI",0,Datos!AI14)</f>
        <v>68</v>
      </c>
      <c r="T14">
        <f>IF(J_V="SI",0,Datos!AJ14)</f>
        <v>57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0.39434523809523808</v>
      </c>
      <c r="E17" s="358">
        <f>IF(ISNUMBER(
   IF(D_I="SI",(Datos!J17-Datos!T17)/Datos!T17,(Datos!J17+Datos!AD17-(Datos!T17+Datos!AL17))/(Datos!T17+Datos!AL17))
     ),IF(D_I="SI",(Datos!J17-Datos!T17)/Datos!T17,(Datos!J17+Datos!AD17-(Datos!T17+Datos!AL17))/(Datos!T17+Datos!AL17))," - ")</f>
        <v>0.14015151515151514</v>
      </c>
      <c r="F17" s="358">
        <f>IF(ISNUMBER(
   IF(D_I="SI",(Datos!K17-Datos!U17)/Datos!U17,(Datos!K17+Datos!AE17-(Datos!U17+Datos!AM17))/(Datos!U17+Datos!AM17))
     ),IF(D_I="SI",(Datos!K17-Datos!U17)/Datos!U17,(Datos!K17+Datos!AE17-(Datos!U17+Datos!AM17))/(Datos!U17+Datos!AM17))," - ")</f>
        <v>0.23605150214592274</v>
      </c>
      <c r="G17" s="359">
        <f>IF(ISNUMBER(
   IF(D_I="SI",(Datos!L17-Datos!V17)/Datos!V17,(Datos!L17+Datos!AF17-(Datos!V17+Datos!AN17))/(Datos!V17+Datos!AN17))
     ),IF(D_I="SI",(Datos!L17-Datos!V17)/Datos!V17,(Datos!L17+Datos!AF17-(Datos!V17+Datos!AN17))/(Datos!V17+Datos!AN17))," - ")</f>
        <v>0.34414668547249649</v>
      </c>
      <c r="H17" s="235">
        <f>IF(ISNUMBER((Datos!M17-Datos!W17)/Datos!W17),(Datos!M17-Datos!W17)/Datos!W17," - ")</f>
        <v>-0.26666666666666666</v>
      </c>
      <c r="I17" s="360">
        <f>IF(ISNUMBER((Tasas!C17-Datos!BE17)/Datos!BE17),(Tasas!C17-Datos!BE17)/Datos!BE17," - ")</f>
        <v>8.7452005955179407E-2</v>
      </c>
      <c r="J17" s="359">
        <f>IF(ISNUMBER((Tasas!D17-Datos!BF17)/Datos!BF17),(Tasas!D17-Datos!BF17)/Datos!BF17," - ")</f>
        <v>-0.40671296296296289</v>
      </c>
      <c r="K17" s="361">
        <f>IF(ISNUMBER((Tasas!E17-Datos!BG17)/Datos!BG17),(Tasas!E17-Datos!BG17)/Datos!BG17," - ")</f>
        <v>7.006024453941101E-2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0.34</v>
      </c>
      <c r="E18" s="358">
        <f>IF(ISNUMBER(
   IF(D_I="SI",(Datos!J18-Datos!T18)/Datos!T18,(Datos!J18+Datos!AD18-(Datos!T18+Datos!AL18))/(Datos!T18+Datos!AL18))
     ),IF(D_I="SI",(Datos!J18-Datos!T18)/Datos!T18,(Datos!J18+Datos!AD18-(Datos!T18+Datos!AL18))/(Datos!T18+Datos!AL18))," - ")</f>
        <v>0.36956521739130432</v>
      </c>
      <c r="F18" s="358">
        <f>IF(ISNUMBER(
   IF(D_I="SI",(Datos!K18-Datos!U18)/Datos!U18,(Datos!K18+Datos!AE18-(Datos!U18+Datos!AM18))/(Datos!U18+Datos!AM18))
     ),IF(D_I="SI",(Datos!K18-Datos!U18)/Datos!U18,(Datos!K18+Datos!AE18-(Datos!U18+Datos!AM18))/(Datos!U18+Datos!AM18))," - ")</f>
        <v>0.25</v>
      </c>
      <c r="G18" s="359">
        <f>IF(ISNUMBER(
   IF(D_I="SI",(Datos!L18-Datos!V18)/Datos!V18,(Datos!L18+Datos!AF18-(Datos!V18+Datos!AN18))/(Datos!V18+Datos!AN18))
     ),IF(D_I="SI",(Datos!L18-Datos!V18)/Datos!V18,(Datos!L18+Datos!AF18-(Datos!V18+Datos!AN18))/(Datos!V18+Datos!AN18))," - ")</f>
        <v>0.44230769230769229</v>
      </c>
      <c r="H18" s="235">
        <f>IF(ISNUMBER((Datos!M18-Datos!W18)/Datos!W18),(Datos!M18-Datos!W18)/Datos!W18," - ")</f>
        <v>-0.5</v>
      </c>
      <c r="I18" s="360">
        <f>IF(ISNUMBER((Tasas!C18-Datos!BE18)/Datos!BE18),(Tasas!C18-Datos!BE18)/Datos!BE18," - ")</f>
        <v>0.15384615384615369</v>
      </c>
      <c r="J18" s="359">
        <f>IF(ISNUMBER((Tasas!D18-Datos!BF18)/Datos!BF18),(Tasas!D18-Datos!BF18)/Datos!BF18," - ")</f>
        <v>-0.6</v>
      </c>
      <c r="K18" s="361">
        <f>IF(ISNUMBER((Tasas!E18-Datos!BG18)/Datos!BG18),(Tasas!E18-Datos!BG18)/Datos!BG18," - ")</f>
        <v>8.3333333333333467E-2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0.39058171745152354</v>
      </c>
      <c r="E20" s="364">
        <f>IF(ISNUMBER(
   IF(D_I="SI",(Datos!J20-Datos!T20)/Datos!T20,(Datos!J20+Datos!AD20-(Datos!T20+Datos!AL20))/(Datos!T20+Datos!AL20))
     ),IF(D_I="SI",(Datos!J20-Datos!T20)/Datos!T20,(Datos!J20+Datos!AD20-(Datos!T20+Datos!AL20))/(Datos!T20+Datos!AL20))," - ")</f>
        <v>0.17419354838709677</v>
      </c>
      <c r="F20" s="364">
        <f>IF(ISNUMBER(
   IF(D_I="SI",(Datos!K20-Datos!U20)/Datos!U20,(Datos!K20+Datos!AE20-(Datos!U20+Datos!AM20))/(Datos!U20+Datos!AM20))
     ),IF(D_I="SI",(Datos!K20-Datos!U20)/Datos!U20,(Datos!K20+Datos!AE20-(Datos!U20+Datos!AM20))/(Datos!U20+Datos!AM20))," - ")</f>
        <v>0.23826714801444043</v>
      </c>
      <c r="G20" s="365">
        <f>IF(ISNUMBER(
   IF(D_I="SI",(Datos!L20-Datos!V20)/Datos!V20,(Datos!L20+Datos!AF20-(Datos!V20+Datos!AN20))/(Datos!V20+Datos!AN20))
     ),IF(D_I="SI",(Datos!L20-Datos!V20)/Datos!V20,(Datos!L20+Datos!AF20-(Datos!V20+Datos!AN20))/(Datos!V20+Datos!AN20))," - ")</f>
        <v>0.35085413929040737</v>
      </c>
      <c r="H20" s="366">
        <f>IF(ISNUMBER((Datos!M20-Datos!W20)/Datos!W20),(Datos!M20-Datos!W20)/Datos!W20," - ")</f>
        <v>-0.28125</v>
      </c>
      <c r="I20" s="367">
        <f>IF(ISNUMBER((Tasas!C20-Datos!BE20)/Datos!BE20),(Tasas!C20-Datos!BE20)/Datos!BE20," - ")</f>
        <v>9.0923022109162768E-2</v>
      </c>
      <c r="J20" s="365">
        <f>IF(ISNUMBER((Tasas!D20-Datos!BF20)/Datos!BF20),(Tasas!D20-Datos!BF20)/Datos!BF20," - ")</f>
        <v>-0.41955174927113703</v>
      </c>
      <c r="K20" s="368">
        <f>IF(ISNUMBER((Tasas!E20-Datos!BG20)/Datos!BG20),(Tasas!E20-Datos!BG20)/Datos!BG20," - ")</f>
        <v>7.0513255135941408E-2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0.16694283347141672</v>
      </c>
      <c r="E21" s="373">
        <f>IF(ISNUMBER(
   IF(J_V="SI",(Datos!J21-Datos!T21)/Datos!T21,(Datos!J21+Datos!Z21-(Datos!T21+Datos!AH21))/(Datos!T21+Datos!AH21))
     ),IF(J_V="SI",(Datos!J21-Datos!T21)/Datos!T21,(Datos!J21+Datos!Z21-(Datos!T21+Datos!AH21))/(Datos!T21+Datos!AH21))," - ")</f>
        <v>0.16499282639885221</v>
      </c>
      <c r="F21" s="373">
        <f>IF(ISNUMBER(
   IF(J_V="SI",(Datos!K21-Datos!U21)/Datos!U21,(Datos!K21+Datos!AA21-(Datos!U21+Datos!AI21))/(Datos!U21+Datos!AI21))
     ),IF(J_V="SI",(Datos!K21-Datos!U21)/Datos!U21,(Datos!K21+Datos!AA21-(Datos!U21+Datos!AI21))/(Datos!U21+Datos!AI21))," - ")</f>
        <v>0.17628205128205129</v>
      </c>
      <c r="G21" s="374">
        <f>IF(ISNUMBER(
   IF(J_V="SI",(Datos!L21-Datos!V21)/Datos!V21,(Datos!L21+Datos!AB21-(Datos!V21+Datos!AJ21))/(Datos!V21+Datos!AJ21))
     ),IF(J_V="SI",(Datos!L21-Datos!V21)/Datos!V21,(Datos!L21+Datos!AB21-(Datos!V21+Datos!AJ21))/(Datos!V21+Datos!AJ21))," - ")</f>
        <v>0.16245487364620939</v>
      </c>
      <c r="H21" s="375">
        <f>IF(ISNUMBER((Datos!M21-Datos!W21)/Datos!W21),(Datos!M21-Datos!W21)/Datos!W21," - ")</f>
        <v>0.15277777777777779</v>
      </c>
      <c r="I21" s="372">
        <f>IF(ISNUMBER((Tasas!C21-Datos!BE21)/Datos!BE21),(Tasas!C21-Datos!BE21)/Datos!BE21," - ")</f>
        <v>-1.1754984802132622E-2</v>
      </c>
      <c r="J21" s="373">
        <f>IF(ISNUMBER((Tasas!D21-Datos!BF21)/Datos!BF21),(Tasas!D21-Datos!BF21)/Datos!BF21," - ")</f>
        <v>-0.69845594913714804</v>
      </c>
      <c r="K21" s="374">
        <f>IF(ISNUMBER((Tasas!E21-Datos!BG21)/Datos!BG21),(Tasas!E21-Datos!BG21)/Datos!BG21," - ")</f>
        <v>-8.3110208393001265E-3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8.4079264987973343E-2</v>
      </c>
      <c r="E23" s="283">
        <f t="shared" si="1"/>
        <v>1.1405032690515229</v>
      </c>
      <c r="F23" s="283">
        <f t="shared" si="1"/>
        <v>0.37932960323249559</v>
      </c>
      <c r="G23" s="284">
        <f t="shared" si="1"/>
        <v>5.1153791649175558E-2</v>
      </c>
      <c r="H23" s="290">
        <f t="shared" si="1"/>
        <v>0.59000351727877509</v>
      </c>
      <c r="I23" s="282">
        <f t="shared" si="1"/>
        <v>0.1577082852952956</v>
      </c>
      <c r="J23" s="283">
        <f t="shared" si="1"/>
        <v>0.27874660227390341</v>
      </c>
      <c r="K23" s="284">
        <f t="shared" si="1"/>
        <v>0.12662472080614912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KRLLPZkLtKw5UpPsuu7QgPDUQg/7JfS2p4crN/FF0HsD/tCPLU1he7dX9gIyf35goELRjsKtrIK6dtVKK17A==" saltValue="QhkdjBcnqYGKqEBWtjTo4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